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79266\Desktop\Для сайта\"/>
    </mc:Choice>
  </mc:AlternateContent>
  <xr:revisionPtr revIDLastSave="0" documentId="8_{F42396FD-031C-4917-BE88-5E7F160F87F2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БЮДЖЕТ арх" sheetId="1" state="hidden" r:id="rId1"/>
    <sheet name="БЮДЖЕТ" sheetId="2" r:id="rId2"/>
    <sheet name="ТРАНШЕЯ" sheetId="3" state="hidden" r:id="rId3"/>
  </sheets>
  <definedNames>
    <definedName name="Z_35B78686_7F38_428F_B6DC_5FF68CC889ED_.wvu.Cols" localSheetId="1" hidden="1">БЮДЖЕТ!$K:$XFB</definedName>
    <definedName name="Z_35B78686_7F38_428F_B6DC_5FF68CC889ED_.wvu.Cols" localSheetId="0" hidden="1">'БЮДЖЕТ арх'!$L:$XFD</definedName>
    <definedName name="Z_882E0392_D269_42DD_BDF0_ED3FDF433F74_.wvu.Cols" localSheetId="1" hidden="1">БЮДЖЕТ!$K:$XFB</definedName>
    <definedName name="Z_882E0392_D269_42DD_BDF0_ED3FDF433F74_.wvu.Cols" localSheetId="0" hidden="1">'БЮДЖЕТ арх'!$L:$XFD</definedName>
    <definedName name="Z_882E0392_D269_42DD_BDF0_ED3FDF433F74_.wvu.Rows" localSheetId="1" hidden="1">БЮДЖЕТ!$38:$56</definedName>
    <definedName name="Z_D4709385_241B_4535_8AFF_06BD2C7DFD52_.wvu.Cols" localSheetId="1" hidden="1">БЮДЖЕТ!$K:$XFB</definedName>
    <definedName name="Z_D4709385_241B_4535_8AFF_06BD2C7DFD52_.wvu.Cols" localSheetId="0" hidden="1">'БЮДЖЕТ арх'!$L:$XFD</definedName>
  </definedNames>
  <calcPr calcId="191029" refMode="R1C1" concurrentCalc="0"/>
  <customWorkbookViews>
    <customWorkbookView name="79266 - Личное представление" guid="{882E0392-D269-42DD-BDF0-ED3FDF433F74}" mergeInterval="0" personalView="1" maximized="1" xWindow="-8" yWindow="-8" windowWidth="1936" windowHeight="1056" activeSheetId="2"/>
    <customWorkbookView name="Даня .. - Личное представление" guid="{35B78686-7F38-428F-B6DC-5FF68CC889ED}" mergeInterval="0" personalView="1" xWindow="284" yWindow="118" windowWidth="1035" windowHeight="933" activeSheetId="2"/>
    <customWorkbookView name="ПК-4 - Личное представление" guid="{D4709385-241B-4535-8AFF-06BD2C7DFD52}" mergeInterval="0" personalView="1" maximized="1" xWindow="-192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F34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2" i="2"/>
  <c r="J22" i="2"/>
  <c r="I23" i="2"/>
  <c r="J23" i="2"/>
  <c r="C13" i="3"/>
  <c r="E13" i="2"/>
  <c r="I13" i="2"/>
  <c r="J13" i="2"/>
  <c r="C15" i="3"/>
  <c r="F7" i="3"/>
  <c r="F6" i="3"/>
  <c r="C12" i="3"/>
  <c r="H9" i="2"/>
  <c r="J9" i="2"/>
  <c r="H36" i="2"/>
  <c r="J36" i="2"/>
  <c r="H26" i="2"/>
  <c r="J26" i="2"/>
  <c r="H27" i="2"/>
  <c r="J27" i="2"/>
  <c r="D52" i="2"/>
  <c r="C39" i="2"/>
  <c r="H35" i="2"/>
  <c r="J35" i="2"/>
  <c r="H34" i="2"/>
  <c r="J34" i="2"/>
  <c r="H33" i="2"/>
  <c r="H30" i="2"/>
  <c r="J30" i="2"/>
  <c r="H29" i="2"/>
  <c r="J29" i="2"/>
  <c r="E28" i="2"/>
  <c r="H28" i="2"/>
  <c r="J28" i="2"/>
  <c r="H25" i="2"/>
  <c r="I21" i="2"/>
  <c r="J21" i="2"/>
  <c r="I12" i="2"/>
  <c r="J12" i="2"/>
  <c r="H10" i="2"/>
  <c r="J10" i="2"/>
  <c r="E31" i="2"/>
  <c r="H31" i="2"/>
  <c r="J31" i="2"/>
  <c r="J11" i="2"/>
  <c r="H32" i="2"/>
  <c r="H8" i="2"/>
  <c r="J25" i="2"/>
  <c r="J33" i="2"/>
  <c r="J8" i="2"/>
  <c r="D57" i="1"/>
  <c r="J32" i="2"/>
  <c r="D49" i="2"/>
  <c r="I11" i="2"/>
  <c r="I3" i="2"/>
  <c r="D39" i="2"/>
  <c r="J24" i="2"/>
  <c r="H24" i="2"/>
  <c r="I4" i="2"/>
  <c r="D45" i="2"/>
  <c r="D64" i="1"/>
  <c r="D60" i="1"/>
  <c r="H34" i="1"/>
  <c r="J34" i="1"/>
  <c r="I19" i="1"/>
  <c r="J19" i="1"/>
  <c r="H11" i="1"/>
  <c r="H12" i="1"/>
  <c r="H13" i="1"/>
  <c r="H14" i="1"/>
  <c r="H15" i="1"/>
  <c r="H10" i="1"/>
  <c r="I2" i="2"/>
  <c r="D44" i="2"/>
  <c r="D40" i="2"/>
  <c r="C49" i="1"/>
  <c r="E38" i="1"/>
  <c r="H38" i="1"/>
  <c r="J38" i="1"/>
  <c r="E26" i="1"/>
  <c r="I26" i="1"/>
  <c r="J26" i="1"/>
  <c r="E46" i="1"/>
  <c r="H46" i="1"/>
  <c r="H45" i="1"/>
  <c r="J45" i="1"/>
  <c r="H44" i="1"/>
  <c r="J44" i="1"/>
  <c r="H40" i="1"/>
  <c r="J40" i="1"/>
  <c r="E39" i="1"/>
  <c r="H39" i="1"/>
  <c r="J39" i="1"/>
  <c r="D61" i="1"/>
  <c r="H36" i="1"/>
  <c r="J36" i="1"/>
  <c r="E35" i="1"/>
  <c r="H35" i="1"/>
  <c r="J35" i="1"/>
  <c r="E31" i="1"/>
  <c r="I31" i="1"/>
  <c r="J31" i="1"/>
  <c r="I30" i="1"/>
  <c r="J30" i="1"/>
  <c r="E29" i="1"/>
  <c r="E41" i="1"/>
  <c r="H41" i="1"/>
  <c r="J41" i="1"/>
  <c r="I28" i="1"/>
  <c r="J28" i="1"/>
  <c r="E27" i="1"/>
  <c r="I27" i="1"/>
  <c r="J27" i="1"/>
  <c r="I25" i="1"/>
  <c r="J25" i="1"/>
  <c r="E24" i="1"/>
  <c r="E37" i="1"/>
  <c r="H37" i="1"/>
  <c r="J37" i="1"/>
  <c r="I23" i="1"/>
  <c r="J23" i="1"/>
  <c r="I22" i="1"/>
  <c r="J22" i="1"/>
  <c r="I21" i="1"/>
  <c r="J21" i="1"/>
  <c r="I20" i="1"/>
  <c r="J20" i="1"/>
  <c r="I18" i="1"/>
  <c r="I17" i="1"/>
  <c r="J15" i="1"/>
  <c r="J14" i="1"/>
  <c r="J13" i="1"/>
  <c r="J12" i="1"/>
  <c r="J11" i="1"/>
  <c r="J10" i="1"/>
  <c r="H9" i="1"/>
  <c r="J9" i="1"/>
  <c r="B12" i="3"/>
  <c r="I7" i="3"/>
  <c r="H7" i="3"/>
  <c r="I6" i="3"/>
  <c r="H6" i="3"/>
  <c r="J6" i="3"/>
  <c r="D38" i="2"/>
  <c r="D41" i="2"/>
  <c r="D42" i="2"/>
  <c r="C14" i="3"/>
  <c r="J18" i="1"/>
  <c r="I29" i="1"/>
  <c r="J29" i="1"/>
  <c r="I24" i="1"/>
  <c r="J24" i="1"/>
  <c r="J8" i="1"/>
  <c r="D55" i="1"/>
  <c r="H8" i="1"/>
  <c r="J17" i="1"/>
  <c r="J46" i="1"/>
  <c r="J43" i="1"/>
  <c r="D59" i="1"/>
  <c r="H43" i="1"/>
  <c r="H33" i="1"/>
  <c r="E42" i="1"/>
  <c r="H42" i="1"/>
  <c r="J42" i="1"/>
  <c r="G6" i="3"/>
  <c r="J7" i="3"/>
  <c r="G7" i="3"/>
  <c r="D54" i="1"/>
  <c r="D50" i="1"/>
  <c r="I16" i="1"/>
  <c r="I3" i="1"/>
  <c r="D49" i="1"/>
  <c r="J16" i="1"/>
  <c r="J33" i="1"/>
  <c r="J32" i="1"/>
  <c r="H32" i="1"/>
  <c r="I4" i="1"/>
  <c r="I2" i="1"/>
  <c r="D48" i="1"/>
  <c r="D51" i="1"/>
  <c r="D52" i="1"/>
</calcChain>
</file>

<file path=xl/sharedStrings.xml><?xml version="1.0" encoding="utf-8"?>
<sst xmlns="http://schemas.openxmlformats.org/spreadsheetml/2006/main" count="296" uniqueCount="150">
  <si>
    <t>Калькуляция расчета ценовых показателей по исполнению работ в интересах PPF Retail Estate Russia
Выполнение работ по монтажу системы временного электроснабжения для обеспечения механизации строительства по адресу:
 г. Москва</t>
  </si>
  <si>
    <t>БЮДЖЕТ ПРОЕКТА</t>
  </si>
  <si>
    <t>руб.</t>
  </si>
  <si>
    <t>Стоимость материалов</t>
  </si>
  <si>
    <t>Стоимость работ</t>
  </si>
  <si>
    <t>№ п/п</t>
  </si>
  <si>
    <t>Наименование работ, материалов, затрат</t>
  </si>
  <si>
    <t>Ед. изм.</t>
  </si>
  <si>
    <t>Кол-во</t>
  </si>
  <si>
    <t>Стоимость единицы, руб.</t>
  </si>
  <si>
    <t>Общая стоимость, руб.</t>
  </si>
  <si>
    <t>Стоимость
материалов</t>
  </si>
  <si>
    <t>Всего</t>
  </si>
  <si>
    <t>1</t>
  </si>
  <si>
    <t xml:space="preserve">Консалтинг: Разработка РД, ТТК, ППР, получение ордера на проведение земляных работ </t>
  </si>
  <si>
    <t>1.1</t>
  </si>
  <si>
    <t>Получение технических условий на присоедение к кабельным сетям 10 кВ "Ри-Энерго" проектируемых кабельных линий 10 кВ сети временного электроснабжения строительства</t>
  </si>
  <si>
    <t>компл.</t>
  </si>
  <si>
    <t>1.2</t>
  </si>
  <si>
    <t>1.3</t>
  </si>
  <si>
    <t>Заключение соглашений о компенсации потерь и договора технического надзора за строительством</t>
  </si>
  <si>
    <t>1.4</t>
  </si>
  <si>
    <t>1.5</t>
  </si>
  <si>
    <t>Разработка и согласование ППР на проведение земляных работ, открытие ордера на производство работ.</t>
  </si>
  <si>
    <t>1.6</t>
  </si>
  <si>
    <t>Cдача электроустановки системы временного электроснабжения в эксплуатацию в МТУ РТН "Энергонадзор". Получение акта технологического присоединения.</t>
  </si>
  <si>
    <t>2</t>
  </si>
  <si>
    <t>2.1</t>
  </si>
  <si>
    <t>шт.</t>
  </si>
  <si>
    <t>2.2</t>
  </si>
  <si>
    <t>Щебень под плиты</t>
  </si>
  <si>
    <t>м3</t>
  </si>
  <si>
    <t>2.3</t>
  </si>
  <si>
    <t>2.4</t>
  </si>
  <si>
    <t>Кабель АСБ 3х240 мм2</t>
  </si>
  <si>
    <t>м.</t>
  </si>
  <si>
    <t>2.5</t>
  </si>
  <si>
    <t>2.6</t>
  </si>
  <si>
    <t>2.7</t>
  </si>
  <si>
    <t>Песок</t>
  </si>
  <si>
    <t>2.8</t>
  </si>
  <si>
    <t>Плитка ПЗК 360х480</t>
  </si>
  <si>
    <t>2.9</t>
  </si>
  <si>
    <t>Полоса стальная  40х4</t>
  </si>
  <si>
    <t>2.10</t>
  </si>
  <si>
    <t>Уголок стальной 75х75х5</t>
  </si>
  <si>
    <t>СМР, ЭМР монтаж КТПН-10/0,4 кВ и прокладка КЛ-10 кВ в траншее с монтажом кабельных муфт</t>
  </si>
  <si>
    <t>Вывоз грунта</t>
  </si>
  <si>
    <t>2.11</t>
  </si>
  <si>
    <t>4</t>
  </si>
  <si>
    <t>4.1</t>
  </si>
  <si>
    <t>4.2</t>
  </si>
  <si>
    <t>4.3</t>
  </si>
  <si>
    <t>Пусконаладочные работы</t>
  </si>
  <si>
    <t>Участок</t>
  </si>
  <si>
    <t>Траншея</t>
  </si>
  <si>
    <t>Объем, м3</t>
  </si>
  <si>
    <t>Длина, м.</t>
  </si>
  <si>
    <t>Ширина, м.</t>
  </si>
  <si>
    <t>Глубина, м.</t>
  </si>
  <si>
    <t>выемка грунта, с Кразрыхл=1,2</t>
  </si>
  <si>
    <t>песчаная подушка под лоток Купл.=1,2</t>
  </si>
  <si>
    <t>обратная засыпка песком Купл.=1,2</t>
  </si>
  <si>
    <t>Кабель АПВПуг 1х400</t>
  </si>
  <si>
    <t>Кабель АПВПуг 1х400мм2</t>
  </si>
  <si>
    <t>Длина, п.м.</t>
  </si>
  <si>
    <t>при толщине слоя, мм</t>
  </si>
  <si>
    <t>Обратная засыпка грунтом</t>
  </si>
  <si>
    <t>Материалы:</t>
  </si>
  <si>
    <t>Монтаж ИКВН-10 кВ</t>
  </si>
  <si>
    <t>Прокладка в траншее КЛ-10 кВ тип АСБ 3х240мм2</t>
  </si>
  <si>
    <t>п.м.</t>
  </si>
  <si>
    <t xml:space="preserve">Монтаж КТПН-1000 кВА 10/0,4 кВ </t>
  </si>
  <si>
    <t>Поставка МТР</t>
  </si>
  <si>
    <t>Плита дорожная ПДП 3х1,75 с доставкой</t>
  </si>
  <si>
    <t>ПНР ИКВН-10 кВ</t>
  </si>
  <si>
    <t>1.7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</si>
  <si>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</si>
  <si>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</si>
  <si>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</si>
  <si>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</si>
  <si>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</si>
  <si>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</si>
  <si>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</si>
  <si>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</si>
  <si>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</si>
  <si>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ИКВН-10 кВ с ВВ выключателями 10 кВ, РЗА, УКРМ-10 кВ</t>
  </si>
  <si>
    <t>2.12</t>
  </si>
  <si>
    <t>2.13</t>
  </si>
  <si>
    <t>Монтаж концевых кабельных муфт 10 кВ</t>
  </si>
  <si>
    <t>3.9</t>
  </si>
  <si>
    <t>ПНР КТПН-10/0,4 кВ</t>
  </si>
  <si>
    <t>Измерения и испытания кабельных линий 10 кВ</t>
  </si>
  <si>
    <t>каб. линия</t>
  </si>
  <si>
    <t>Монтаж соединительных кабельных муфт 10 кВ</t>
  </si>
  <si>
    <t>Кабельная концевая муфта 3 КНТП-10-150/240-Б</t>
  </si>
  <si>
    <t>Кабельная соединительная муфта 1ПСТ-10-300/400 (Б) нг-LS</t>
  </si>
  <si>
    <t xml:space="preserve">Кабельная концевая муфта  1 ПКВТ-10 (400) </t>
  </si>
  <si>
    <t>2.14</t>
  </si>
  <si>
    <t>Устройство закрытого перехода методом ГНБ 1 скв. Ø450мм с протаскиванием 2-х труб ПНДØ225мм</t>
  </si>
  <si>
    <t>Труба ПНДØ225мм</t>
  </si>
  <si>
    <t>Прокладка в траншее КЛ-10 кВ тип АПВПуг1*400</t>
  </si>
  <si>
    <t>Проведение комплекса ПИР Разработка и согласование рабочей документации сети временного электроснабжения строительства с районом МКС и другими службами "МОЭСК",балансодержателями территории, владельцами пересекаемых инженерных коммуникаций и коммуникаций в охранной зоне которых будут проводится яработы, ГБУ "Жилищник", ГБУ "Автомобильные дороги", "Москультнаследие", АО "Метрополитен", АО "Мосгаз", отделом подземных сооружений АО "МОСГОРГЕОТРЕСТ", Заказчиком и др. требуемыми для согласования организациями</t>
  </si>
  <si>
    <t>ПНР</t>
  </si>
  <si>
    <t>Срок поставки МТР</t>
  </si>
  <si>
    <t>Срок производства СМР, ЭМР, ПНР</t>
  </si>
  <si>
    <t>кал. дней</t>
  </si>
  <si>
    <t>мес.</t>
  </si>
  <si>
    <t>Устройство закрытого перехода методом ГНБ</t>
  </si>
  <si>
    <t>Подготовка комплекта исполнительной документации по СМР, ЭМР по кабельным линиям 10 кВ  и монтажу высоковольтного оборудования: ИКВН-10 кВ и КТПН-10 кВ с выполнением исполнительной геодезической съемки, сдачей данных  в МОСГЕОТРЕСТ, службу кабельных сетей (при необходимости) Подписание акта о выполнении ТУ.</t>
  </si>
  <si>
    <t>Согласование системы учёта,  ЭЭ в Мосэнергосбыт, получение уставок в  службе СРЗИА</t>
  </si>
  <si>
    <t xml:space="preserve">Устройство площадок для установки КТПН, ИКВН  из дорожных плит(с доставкой) ПДП 3х1,75 </t>
  </si>
  <si>
    <t xml:space="preserve">Затраты на субкооперацию, </t>
  </si>
  <si>
    <t>Доп. Оснастка лебедка, расходники, бытовки под склад и размещение персонала</t>
  </si>
  <si>
    <t xml:space="preserve">Передвижная комплектная трансформаторная подстанция 10/0,4 кВ 1000 кВа проходного типа (комплект с ВкН типа ВВ, у/у, РЗА) с ограждением </t>
  </si>
  <si>
    <t>Консалтинг (ПИР, РД, согласования, взаимодейсвия)</t>
  </si>
  <si>
    <t>Аренда/привлечение  авто-, технологической техники</t>
  </si>
  <si>
    <t>2.15</t>
  </si>
  <si>
    <t>БЮДЖЕТ ПРОЕКТА, включая:</t>
  </si>
  <si>
    <t>Фундаментные железобетонные блоки ФБС -24-4</t>
  </si>
  <si>
    <t>Монтаж железоб. блоков ФБС -24-4</t>
  </si>
  <si>
    <t>Аренда оснащения для выполнения земляных работ под временные ограждения (600м)</t>
  </si>
  <si>
    <t xml:space="preserve">Допуск в эксплуатацию </t>
  </si>
  <si>
    <t>Расходные статьи, включая:</t>
  </si>
  <si>
    <t>Общий срок реализации проекта (оптимистич.), включая</t>
  </si>
  <si>
    <t>Рентабельность Энерготрест, руб</t>
  </si>
  <si>
    <t>Рентабельность Энерготрест, %</t>
  </si>
  <si>
    <t xml:space="preserve">Услуги сметчика, геодезиста </t>
  </si>
  <si>
    <t>Срок выполнения организационно-подг. работ (ТУ, ПИР, Геотрест)</t>
  </si>
  <si>
    <t>3.10</t>
  </si>
  <si>
    <t>Охрана  объекта, МТР</t>
  </si>
  <si>
    <t>Щебень под ФБС</t>
  </si>
  <si>
    <t>Устройство ограждения КТПН, ИКВН</t>
  </si>
  <si>
    <t>Устройство контура заземления КТПН, ИКВН</t>
  </si>
  <si>
    <t>4.4</t>
  </si>
  <si>
    <t>Измерения сопротивления и предоставление паспорта ЗУ</t>
  </si>
  <si>
    <t>Песок с доставкой</t>
  </si>
  <si>
    <t>Плитка</t>
  </si>
  <si>
    <t>Труба ПНДØ160мм</t>
  </si>
  <si>
    <t>Фундаментные железобетонные блоки ФБС -24-4-4</t>
  </si>
  <si>
    <t>Проведение комплекса ПИР Разработка и согласование рабочей документации сети временного электроснабжения строительства с районом МКС и другими службами "МОЭСК",балансодержателями территории, владельцами пересекаемых инженерных коммуникаций и коммуникаций в охранной зоне которых будут проводится работы,, отделом подземных сооружений АО "МОСГОРГЕОТРЕСТ", Заказчиком и др. требуемыми для согласования организациями, Согласование системы учёта,  ЭЭ в Мосэнергосбыт, получение уставок в  службе СРЗИА. Разработка и согласование ППР на проведение земляных работ, открытие ордера на производство работ. Cдача электроустановки системы временного электроснабжения в эксплуатацию в МТУ РТН "Энергонадзор". Получение акта технологического присоединения.</t>
  </si>
  <si>
    <t>Кабель АПвБП 3х120/16-10</t>
  </si>
  <si>
    <t>Подготовка комплекта исполнительной документации по СМР, ЭМР, ПНР по кабельным линиям 10 кВ  и монтажу высоковольтного оборудования: ИКВН-10 кВ и КТПН-10 кВ с выполнением исполнительной геодезической съемки, сдачей данных  в МОСГЕОТРЕСТ, службу кабельных сетей (при необходимости) Подписание акта о выполнении ТУ.</t>
  </si>
  <si>
    <t>Кабель АПвБП-10 кВ 3х120 мм2</t>
  </si>
  <si>
    <t>Комплектная трансформаторная подстанция 10/0,4 кВ 1000 кВа проходного типа (комплект с ВкН типа ВВ, у/у, РЗА) с установкой стационарных ограждений</t>
  </si>
  <si>
    <t>ИКВН-10 кВ двухсекционный стандартного исполнения с установкой системы учета на каждую секцию и обустройством стационарного ограждения</t>
  </si>
  <si>
    <t>Прокладка в траншее КЛ-10 кВ тип  АПвБП 3х120 мм2 в трубе ПНД</t>
  </si>
  <si>
    <t>Кабельная концевая муфта 1ПКВТ -10-300/400-Б (наконечник под болт)</t>
  </si>
  <si>
    <t>Кабельная концевая муфта 3 ПКНТП-10-70/120-Б  (наконечник под болт)</t>
  </si>
  <si>
    <t>Сметный расчета ценовых показателей по исполнению работ в интересах Дельта Ком
 Выполнение работ по монтажу системы временного электроснабжения по двухлучевой схеме для обеспечения механизации строительства по адресу:
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</si>
</sst>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8" fillId="0" borderId="0"/>
    <xf numFmtId="0" fontId="1" fillId="0" borderId="0"/>
  </cellStyleXfs>
  <cellXfs count="94">
    <xf numFmtId="0" fontId="0" fillId="0" borderId="0" xfId="0"/>
    <xf numFmtId="0" fontId="4" fillId="2" borderId="4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" fontId="5" fillId="2" borderId="16" xfId="1" applyNumberFormat="1" applyFont="1" applyFill="1" applyBorder="1" applyAlignment="1">
      <alignment horizontal="center" vertical="center" shrinkToFit="1"/>
    </xf>
    <xf numFmtId="1" fontId="5" fillId="2" borderId="17" xfId="1" applyNumberFormat="1" applyFont="1" applyFill="1" applyBorder="1" applyAlignment="1">
      <alignment horizontal="center" vertical="center" shrinkToFit="1"/>
    </xf>
    <xf numFmtId="1" fontId="6" fillId="2" borderId="17" xfId="1" applyNumberFormat="1" applyFont="1" applyFill="1" applyBorder="1" applyAlignment="1">
      <alignment horizontal="center" vertical="center" shrinkToFit="1"/>
    </xf>
    <xf numFmtId="1" fontId="6" fillId="2" borderId="18" xfId="1" applyNumberFormat="1" applyFont="1" applyFill="1" applyBorder="1" applyAlignment="1">
      <alignment horizontal="center" vertical="center" shrinkToFit="1"/>
    </xf>
    <xf numFmtId="49" fontId="5" fillId="3" borderId="19" xfId="1" applyNumberFormat="1" applyFont="1" applyFill="1" applyBorder="1" applyAlignment="1">
      <alignment horizontal="center" vertical="center" shrinkToFit="1"/>
    </xf>
    <xf numFmtId="0" fontId="3" fillId="3" borderId="19" xfId="1" applyFont="1" applyFill="1" applyBorder="1" applyAlignment="1">
      <alignment horizontal="left" vertical="center" wrapText="1"/>
    </xf>
    <xf numFmtId="8" fontId="3" fillId="3" borderId="19" xfId="1" applyNumberFormat="1" applyFont="1" applyFill="1" applyBorder="1" applyAlignment="1">
      <alignment horizontal="center" vertical="center" wrapText="1"/>
    </xf>
    <xf numFmtId="49" fontId="4" fillId="2" borderId="19" xfId="1" applyNumberFormat="1" applyFont="1" applyFill="1" applyBorder="1" applyAlignment="1">
      <alignment horizontal="center" vertical="center" shrinkToFit="1"/>
    </xf>
    <xf numFmtId="0" fontId="6" fillId="0" borderId="19" xfId="2" applyFont="1" applyFill="1" applyBorder="1" applyAlignment="1">
      <alignment vertical="center" wrapText="1"/>
    </xf>
    <xf numFmtId="0" fontId="6" fillId="2" borderId="19" xfId="1" applyFont="1" applyFill="1" applyBorder="1" applyAlignment="1">
      <alignment horizontal="center" vertical="center" wrapText="1"/>
    </xf>
    <xf numFmtId="4" fontId="4" fillId="2" borderId="19" xfId="1" applyNumberFormat="1" applyFont="1" applyFill="1" applyBorder="1" applyAlignment="1">
      <alignment horizontal="center" vertical="center" shrinkToFit="1"/>
    </xf>
    <xf numFmtId="8" fontId="6" fillId="2" borderId="19" xfId="1" applyNumberFormat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left" vertical="center" wrapText="1"/>
    </xf>
    <xf numFmtId="3" fontId="4" fillId="2" borderId="19" xfId="1" applyNumberFormat="1" applyFont="1" applyFill="1" applyBorder="1" applyAlignment="1">
      <alignment horizontal="center" vertical="center" shrinkToFit="1"/>
    </xf>
    <xf numFmtId="0" fontId="3" fillId="3" borderId="19" xfId="1" applyFont="1" applyFill="1" applyBorder="1" applyAlignment="1">
      <alignment vertical="center" wrapText="1"/>
    </xf>
    <xf numFmtId="1" fontId="4" fillId="3" borderId="19" xfId="1" applyNumberFormat="1" applyFont="1" applyFill="1" applyBorder="1" applyAlignment="1">
      <alignment horizontal="center" vertical="center" shrinkToFit="1"/>
    </xf>
    <xf numFmtId="0" fontId="6" fillId="3" borderId="19" xfId="1" applyFont="1" applyFill="1" applyBorder="1" applyAlignment="1">
      <alignment horizontal="center" vertical="center" wrapText="1"/>
    </xf>
    <xf numFmtId="1" fontId="4" fillId="2" borderId="19" xfId="1" applyNumberFormat="1" applyFont="1" applyFill="1" applyBorder="1" applyAlignment="1">
      <alignment horizontal="center" vertical="center" shrinkToFit="1"/>
    </xf>
    <xf numFmtId="0" fontId="6" fillId="2" borderId="19" xfId="2" applyFont="1" applyFill="1" applyBorder="1" applyAlignment="1">
      <alignment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/>
    </xf>
    <xf numFmtId="0" fontId="9" fillId="4" borderId="19" xfId="4" applyFont="1" applyFill="1" applyBorder="1" applyAlignment="1">
      <alignment vertical="center" wrapText="1"/>
    </xf>
    <xf numFmtId="0" fontId="9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16" fontId="9" fillId="0" borderId="19" xfId="4" applyNumberFormat="1" applyFont="1" applyBorder="1" applyAlignment="1">
      <alignment horizontal="left" vertical="center"/>
    </xf>
    <xf numFmtId="4" fontId="9" fillId="0" borderId="22" xfId="4" applyNumberFormat="1" applyFont="1" applyBorder="1" applyAlignment="1">
      <alignment horizontal="center" vertical="center"/>
    </xf>
    <xf numFmtId="0" fontId="9" fillId="4" borderId="20" xfId="4" applyFont="1" applyFill="1" applyBorder="1" applyAlignment="1"/>
    <xf numFmtId="0" fontId="0" fillId="0" borderId="19" xfId="0" applyBorder="1"/>
    <xf numFmtId="0" fontId="6" fillId="2" borderId="19" xfId="1" applyFont="1" applyFill="1" applyBorder="1" applyAlignment="1">
      <alignment vertical="center" wrapText="1"/>
    </xf>
    <xf numFmtId="4" fontId="0" fillId="0" borderId="0" xfId="0" applyNumberFormat="1"/>
    <xf numFmtId="0" fontId="3" fillId="2" borderId="0" xfId="1" applyFont="1" applyFill="1" applyBorder="1" applyAlignment="1">
      <alignment vertical="center" wrapText="1"/>
    </xf>
    <xf numFmtId="0" fontId="7" fillId="0" borderId="0" xfId="0" applyFont="1"/>
    <xf numFmtId="8" fontId="3" fillId="2" borderId="19" xfId="1" applyNumberFormat="1" applyFont="1" applyFill="1" applyBorder="1" applyAlignment="1">
      <alignment horizontal="center" vertical="center" wrapText="1"/>
    </xf>
    <xf numFmtId="8" fontId="3" fillId="5" borderId="19" xfId="1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right" wrapText="1"/>
    </xf>
    <xf numFmtId="0" fontId="3" fillId="5" borderId="19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right" wrapText="1"/>
    </xf>
    <xf numFmtId="8" fontId="6" fillId="2" borderId="0" xfId="1" applyNumberFormat="1" applyFont="1" applyFill="1" applyBorder="1" applyAlignment="1">
      <alignment horizontal="center" vertical="center" wrapText="1"/>
    </xf>
    <xf numFmtId="164" fontId="4" fillId="2" borderId="19" xfId="1" applyNumberFormat="1" applyFont="1" applyFill="1" applyBorder="1" applyAlignment="1">
      <alignment horizontal="center" vertical="center" shrinkToFit="1"/>
    </xf>
    <xf numFmtId="3" fontId="13" fillId="2" borderId="19" xfId="1" applyNumberFormat="1" applyFont="1" applyFill="1" applyBorder="1" applyAlignment="1">
      <alignment horizontal="center" vertical="center" shrinkToFit="1"/>
    </xf>
    <xf numFmtId="0" fontId="10" fillId="0" borderId="19" xfId="0" applyFont="1" applyBorder="1" applyAlignment="1">
      <alignment horizontal="center"/>
    </xf>
    <xf numFmtId="0" fontId="3" fillId="5" borderId="19" xfId="1" applyFont="1" applyFill="1" applyBorder="1" applyAlignment="1">
      <alignment horizontal="right" vertical="center" wrapText="1"/>
    </xf>
    <xf numFmtId="0" fontId="5" fillId="2" borderId="19" xfId="1" applyFont="1" applyFill="1" applyBorder="1" applyAlignment="1">
      <alignment vertical="center" wrapText="1"/>
    </xf>
    <xf numFmtId="10" fontId="12" fillId="5" borderId="19" xfId="0" applyNumberFormat="1" applyFont="1" applyFill="1" applyBorder="1" applyAlignment="1">
      <alignment horizontal="center"/>
    </xf>
    <xf numFmtId="8" fontId="11" fillId="2" borderId="19" xfId="1" applyNumberFormat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left" vertical="center" wrapText="1"/>
    </xf>
    <xf numFmtId="0" fontId="6" fillId="6" borderId="19" xfId="1" applyFont="1" applyFill="1" applyBorder="1" applyAlignment="1">
      <alignment horizontal="center" vertical="center" wrapText="1"/>
    </xf>
    <xf numFmtId="3" fontId="4" fillId="6" borderId="19" xfId="1" applyNumberFormat="1" applyFont="1" applyFill="1" applyBorder="1" applyAlignment="1">
      <alignment horizontal="center" vertical="center" shrinkToFit="1"/>
    </xf>
    <xf numFmtId="8" fontId="3" fillId="2" borderId="23" xfId="1" applyNumberFormat="1" applyFont="1" applyFill="1" applyBorder="1" applyAlignment="1">
      <alignment horizontal="center" vertical="center" wrapText="1"/>
    </xf>
    <xf numFmtId="0" fontId="7" fillId="2" borderId="19" xfId="0" applyFont="1" applyFill="1" applyBorder="1"/>
    <xf numFmtId="16" fontId="9" fillId="0" borderId="24" xfId="4" applyNumberFormat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1" fontId="5" fillId="2" borderId="25" xfId="1" applyNumberFormat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left" vertical="center" wrapText="1"/>
    </xf>
    <xf numFmtId="8" fontId="6" fillId="2" borderId="26" xfId="1" applyNumberFormat="1" applyFont="1" applyFill="1" applyBorder="1" applyAlignment="1">
      <alignment horizontal="center" vertical="center" wrapText="1"/>
    </xf>
    <xf numFmtId="1" fontId="6" fillId="2" borderId="19" xfId="1" applyNumberFormat="1" applyFont="1" applyFill="1" applyBorder="1" applyAlignment="1">
      <alignment horizontal="center" vertical="center" shrinkToFit="1"/>
    </xf>
    <xf numFmtId="8" fontId="7" fillId="0" borderId="0" xfId="0" applyNumberFormat="1" applyFont="1"/>
    <xf numFmtId="0" fontId="7" fillId="2" borderId="0" xfId="0" applyFont="1" applyFill="1"/>
    <xf numFmtId="49" fontId="4" fillId="2" borderId="0" xfId="1" applyNumberFormat="1" applyFont="1" applyFill="1" applyBorder="1" applyAlignment="1">
      <alignment horizontal="center" vertical="center" shrinkToFit="1"/>
    </xf>
    <xf numFmtId="0" fontId="7" fillId="2" borderId="0" xfId="0" applyFont="1" applyFill="1" applyBorder="1"/>
    <xf numFmtId="0" fontId="6" fillId="2" borderId="23" xfId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horizontal="righ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/>
    </xf>
    <xf numFmtId="0" fontId="9" fillId="4" borderId="20" xfId="4" applyFont="1" applyFill="1" applyBorder="1" applyAlignment="1">
      <alignment horizontal="center"/>
    </xf>
    <xf numFmtId="0" fontId="9" fillId="4" borderId="21" xfId="4" applyFont="1" applyFill="1" applyBorder="1" applyAlignment="1">
      <alignment horizontal="center"/>
    </xf>
    <xf numFmtId="0" fontId="9" fillId="4" borderId="22" xfId="4" applyFont="1" applyFill="1" applyBorder="1" applyAlignment="1">
      <alignment horizontal="center"/>
    </xf>
    <xf numFmtId="0" fontId="9" fillId="4" borderId="21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3" xr:uid="{00000000-0005-0000-0000-000001000000}"/>
    <cellStyle name="Обычный 2 3" xfId="4" xr:uid="{00000000-0005-0000-0000-000002000000}"/>
    <cellStyle name="Обычный 4" xfId="2" xr:uid="{00000000-0005-0000-0000-000003000000}"/>
    <cellStyle name="Обычный 4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2.xml"/><Relationship Id="rId1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5B00A8B-491F-4293-A7F1-8D164BDE82D9}" diskRevisions="1" revisionId="113" version="2">
  <header guid="{F7C339E4-A3FC-4B83-9E36-3BBFE028FCA4}" dateTime="2020-02-19T17:07:00" maxSheetId="4" userName="79266" r:id="rId16">
    <sheetIdMap count="3">
      <sheetId val="1"/>
      <sheetId val="2"/>
      <sheetId val="3"/>
    </sheetIdMap>
  </header>
  <header guid="{85B00A8B-491F-4293-A7F1-8D164BDE82D9}" dateTime="2021-04-08T14:13:16" maxSheetId="4" userName="79266" r:id="rId17" minRId="11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82E0392_D269_42DD_BDF0_ED3FDF433F74_.wvu.Cols" hidden="1" oldHidden="1">
    <formula>'БЮДЖЕТ арх'!$L:$XFD</formula>
  </rdn>
  <rdn rId="0" localSheetId="2" customView="1" name="Z_882E0392_D269_42DD_BDF0_ED3FDF433F74_.wvu.Cols" hidden="1" oldHidden="1">
    <formula>БЮДЖЕТ!$K:$XFB</formula>
  </rdn>
  <rcv guid="{882E0392-D269-42DD-BDF0-ED3FDF433F7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" sId="2">
    <oc r="B1" t="inlineStr">
      <is>
        <t>Калькуляция расчета ценовых показателей по исполнению работ в интересах PPF Retail Estate Russia
Вариант 1. Выполнение работ по монтажу системы временного электроснабжения по двухлучевой схеме для обеспечения механизации строительства по адресу:
 г. Москва</t>
      </is>
    </oc>
    <nc r="B1" t="inlineStr">
      <is>
        <t>Сметный расчета ценовых показателей по исполнению работ в интересах Дельта Ком
 Выполнение работ по монтажу системы временного электроснабжения по двухлучевой схеме для обеспечения механизации строительства по адресу:
 г. Москва</t>
      </is>
    </nc>
  </rcc>
  <rcv guid="{882E0392-D269-42DD-BDF0-ED3FDF433F74}" action="delete"/>
  <rdn rId="0" localSheetId="1" customView="1" name="Z_882E0392_D269_42DD_BDF0_ED3FDF433F74_.wvu.Cols" hidden="1" oldHidden="1">
    <formula>'БЮДЖЕТ арх'!$L:$XFD</formula>
    <oldFormula>'БЮДЖЕТ арх'!$L:$XFD</oldFormula>
  </rdn>
  <rdn rId="0" localSheetId="2" customView="1" name="Z_882E0392_D269_42DD_BDF0_ED3FDF433F74_.wvu.Rows" hidden="1" oldHidden="1">
    <formula>БЮДЖЕТ!$38:$56</formula>
  </rdn>
  <rdn rId="0" localSheetId="2" customView="1" name="Z_882E0392_D269_42DD_BDF0_ED3FDF433F74_.wvu.Cols" hidden="1" oldHidden="1">
    <formula>БЮДЖЕТ!$K:$XFB</formula>
    <oldFormula>БЮДЖЕТ!$K:$XFB</oldFormula>
  </rdn>
  <rcv guid="{882E0392-D269-42DD-BDF0-ED3FDF433F7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68"/>
  <sheetViews>
    <sheetView zoomScale="115" zoomScaleNormal="115" workbookViewId="0">
      <selection activeCell="I2" sqref="I2"/>
    </sheetView>
  </sheetViews>
  <sheetFormatPr defaultColWidth="0" defaultRowHeight="12.75" x14ac:dyDescent="0.2"/>
  <cols>
    <col min="1" max="1" width="9.140625" style="39" customWidth="1"/>
    <col min="2" max="2" width="4.42578125" style="39" customWidth="1"/>
    <col min="3" max="3" width="56" style="39" customWidth="1"/>
    <col min="4" max="4" width="17.5703125" style="39" customWidth="1"/>
    <col min="5" max="5" width="10.42578125" style="39" customWidth="1"/>
    <col min="6" max="6" width="13.7109375" style="39" customWidth="1"/>
    <col min="7" max="7" width="14.85546875" style="39" customWidth="1"/>
    <col min="8" max="8" width="18.28515625" style="39" customWidth="1"/>
    <col min="9" max="9" width="15.85546875" style="39" customWidth="1"/>
    <col min="10" max="10" width="17.5703125" style="39" customWidth="1"/>
    <col min="11" max="11" width="9.140625" style="39" customWidth="1"/>
    <col min="12" max="16384" width="9.140625" style="39" hidden="1"/>
  </cols>
  <sheetData>
    <row r="1" spans="2:10" ht="43.5" customHeight="1" x14ac:dyDescent="0.2">
      <c r="B1" s="74" t="s">
        <v>0</v>
      </c>
      <c r="C1" s="75"/>
      <c r="D1" s="75"/>
      <c r="E1" s="75"/>
      <c r="F1" s="75"/>
      <c r="G1" s="75"/>
      <c r="H1" s="75"/>
      <c r="I1" s="75"/>
      <c r="J1" s="76"/>
    </row>
    <row r="2" spans="2:10" x14ac:dyDescent="0.2">
      <c r="B2" s="1"/>
      <c r="C2" s="2"/>
      <c r="D2" s="3"/>
      <c r="E2" s="3"/>
      <c r="F2" s="4"/>
      <c r="G2" s="77" t="s">
        <v>1</v>
      </c>
      <c r="H2" s="78"/>
      <c r="I2" s="40">
        <f>J8+J16+J32+J43</f>
        <v>17415500</v>
      </c>
      <c r="J2" s="5" t="s">
        <v>2</v>
      </c>
    </row>
    <row r="3" spans="2:10" x14ac:dyDescent="0.2">
      <c r="B3" s="1"/>
      <c r="C3" s="2"/>
      <c r="D3" s="3"/>
      <c r="E3" s="3"/>
      <c r="F3" s="4"/>
      <c r="G3" s="79" t="s">
        <v>3</v>
      </c>
      <c r="H3" s="73"/>
      <c r="I3" s="19">
        <f>I8+I16+I32+I43</f>
        <v>12121200</v>
      </c>
      <c r="J3" s="5" t="s">
        <v>2</v>
      </c>
    </row>
    <row r="4" spans="2:10" x14ac:dyDescent="0.2">
      <c r="B4" s="1"/>
      <c r="C4" s="2"/>
      <c r="D4" s="3"/>
      <c r="E4" s="3"/>
      <c r="F4" s="4"/>
      <c r="G4" s="73" t="s">
        <v>4</v>
      </c>
      <c r="H4" s="73"/>
      <c r="I4" s="19">
        <f>H8+H16+H32+H43</f>
        <v>5294300</v>
      </c>
      <c r="J4" s="5" t="s">
        <v>2</v>
      </c>
    </row>
    <row r="5" spans="2:10" x14ac:dyDescent="0.2">
      <c r="B5" s="83" t="s">
        <v>5</v>
      </c>
      <c r="C5" s="85" t="s">
        <v>6</v>
      </c>
      <c r="D5" s="85" t="s">
        <v>7</v>
      </c>
      <c r="E5" s="85" t="s">
        <v>8</v>
      </c>
      <c r="F5" s="80" t="s">
        <v>9</v>
      </c>
      <c r="G5" s="87"/>
      <c r="H5" s="80" t="s">
        <v>10</v>
      </c>
      <c r="I5" s="81"/>
      <c r="J5" s="82"/>
    </row>
    <row r="6" spans="2:10" ht="25.5" x14ac:dyDescent="0.2">
      <c r="B6" s="84"/>
      <c r="C6" s="86"/>
      <c r="D6" s="86"/>
      <c r="E6" s="86"/>
      <c r="F6" s="6" t="s">
        <v>4</v>
      </c>
      <c r="G6" s="6" t="s">
        <v>3</v>
      </c>
      <c r="H6" s="6" t="s">
        <v>4</v>
      </c>
      <c r="I6" s="6" t="s">
        <v>11</v>
      </c>
      <c r="J6" s="7" t="s">
        <v>12</v>
      </c>
    </row>
    <row r="7" spans="2:10" x14ac:dyDescent="0.2">
      <c r="B7" s="8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10">
        <v>7</v>
      </c>
      <c r="I7" s="10">
        <v>8</v>
      </c>
      <c r="J7" s="11">
        <v>9</v>
      </c>
    </row>
    <row r="8" spans="2:10" ht="25.5" x14ac:dyDescent="0.2">
      <c r="B8" s="12" t="s">
        <v>13</v>
      </c>
      <c r="C8" s="13" t="s">
        <v>14</v>
      </c>
      <c r="D8" s="13"/>
      <c r="E8" s="13"/>
      <c r="F8" s="13"/>
      <c r="G8" s="13"/>
      <c r="H8" s="14">
        <f>SUM(H9:H15)</f>
        <v>1090000</v>
      </c>
      <c r="I8" s="14"/>
      <c r="J8" s="14">
        <f>SUM(J9:J15)</f>
        <v>1090000</v>
      </c>
    </row>
    <row r="9" spans="2:10" ht="45" customHeight="1" x14ac:dyDescent="0.2">
      <c r="B9" s="15" t="s">
        <v>15</v>
      </c>
      <c r="C9" s="16" t="s">
        <v>16</v>
      </c>
      <c r="D9" s="17" t="s">
        <v>17</v>
      </c>
      <c r="E9" s="18">
        <v>1</v>
      </c>
      <c r="F9" s="19">
        <v>15000</v>
      </c>
      <c r="G9" s="19"/>
      <c r="H9" s="19">
        <f t="shared" ref="H9:H15" si="0">F9*E9</f>
        <v>15000</v>
      </c>
      <c r="I9" s="19"/>
      <c r="J9" s="19">
        <f t="shared" ref="J9:J15" si="1">H9+I9</f>
        <v>15000</v>
      </c>
    </row>
    <row r="10" spans="2:10" ht="135" customHeight="1" x14ac:dyDescent="0.2">
      <c r="B10" s="15" t="s">
        <v>18</v>
      </c>
      <c r="C10" s="16" t="s">
        <v>102</v>
      </c>
      <c r="D10" s="17" t="s">
        <v>17</v>
      </c>
      <c r="E10" s="18">
        <v>1</v>
      </c>
      <c r="F10" s="19">
        <v>550000</v>
      </c>
      <c r="G10" s="19"/>
      <c r="H10" s="19">
        <f t="shared" si="0"/>
        <v>550000</v>
      </c>
      <c r="I10" s="19"/>
      <c r="J10" s="19">
        <f t="shared" si="1"/>
        <v>550000</v>
      </c>
    </row>
    <row r="11" spans="2:10" ht="25.5" x14ac:dyDescent="0.2">
      <c r="B11" s="15" t="s">
        <v>19</v>
      </c>
      <c r="C11" s="16" t="s">
        <v>20</v>
      </c>
      <c r="D11" s="17" t="s">
        <v>17</v>
      </c>
      <c r="E11" s="18">
        <v>1</v>
      </c>
      <c r="F11" s="19">
        <v>220000</v>
      </c>
      <c r="G11" s="19"/>
      <c r="H11" s="19">
        <f t="shared" si="0"/>
        <v>220000</v>
      </c>
      <c r="I11" s="19"/>
      <c r="J11" s="19">
        <f t="shared" si="1"/>
        <v>220000</v>
      </c>
    </row>
    <row r="12" spans="2:10" ht="25.5" x14ac:dyDescent="0.2">
      <c r="B12" s="15" t="s">
        <v>21</v>
      </c>
      <c r="C12" s="16" t="s">
        <v>23</v>
      </c>
      <c r="D12" s="17" t="s">
        <v>17</v>
      </c>
      <c r="E12" s="18">
        <v>1</v>
      </c>
      <c r="F12" s="19">
        <v>90000</v>
      </c>
      <c r="G12" s="19"/>
      <c r="H12" s="19">
        <f t="shared" si="0"/>
        <v>90000</v>
      </c>
      <c r="I12" s="19"/>
      <c r="J12" s="19">
        <f>H12+I12</f>
        <v>90000</v>
      </c>
    </row>
    <row r="13" spans="2:10" ht="76.5" x14ac:dyDescent="0.2">
      <c r="B13" s="15" t="s">
        <v>22</v>
      </c>
      <c r="C13" s="16" t="s">
        <v>109</v>
      </c>
      <c r="D13" s="17" t="s">
        <v>17</v>
      </c>
      <c r="E13" s="18">
        <v>1</v>
      </c>
      <c r="F13" s="19">
        <v>100000</v>
      </c>
      <c r="G13" s="19"/>
      <c r="H13" s="19">
        <f t="shared" si="0"/>
        <v>100000</v>
      </c>
      <c r="I13" s="19"/>
      <c r="J13" s="19">
        <f>H13+I13</f>
        <v>100000</v>
      </c>
    </row>
    <row r="14" spans="2:10" ht="25.5" x14ac:dyDescent="0.2">
      <c r="B14" s="15" t="s">
        <v>24</v>
      </c>
      <c r="C14" s="16" t="s">
        <v>110</v>
      </c>
      <c r="D14" s="17" t="s">
        <v>17</v>
      </c>
      <c r="E14" s="18">
        <v>1</v>
      </c>
      <c r="F14" s="19">
        <v>65000</v>
      </c>
      <c r="G14" s="19"/>
      <c r="H14" s="19">
        <f t="shared" si="0"/>
        <v>65000</v>
      </c>
      <c r="I14" s="19"/>
      <c r="J14" s="19">
        <f t="shared" si="1"/>
        <v>65000</v>
      </c>
    </row>
    <row r="15" spans="2:10" ht="43.5" customHeight="1" x14ac:dyDescent="0.2">
      <c r="B15" s="15" t="s">
        <v>76</v>
      </c>
      <c r="C15" s="16" t="s">
        <v>25</v>
      </c>
      <c r="D15" s="17" t="s">
        <v>17</v>
      </c>
      <c r="E15" s="18">
        <v>1</v>
      </c>
      <c r="F15" s="19">
        <v>50000</v>
      </c>
      <c r="G15" s="19"/>
      <c r="H15" s="19">
        <f t="shared" si="0"/>
        <v>50000</v>
      </c>
      <c r="I15" s="19"/>
      <c r="J15" s="19">
        <f t="shared" si="1"/>
        <v>50000</v>
      </c>
    </row>
    <row r="16" spans="2:10" x14ac:dyDescent="0.2">
      <c r="B16" s="12" t="s">
        <v>26</v>
      </c>
      <c r="C16" s="13" t="s">
        <v>73</v>
      </c>
      <c r="D16" s="13"/>
      <c r="E16" s="13"/>
      <c r="F16" s="13"/>
      <c r="G16" s="13"/>
      <c r="H16" s="14"/>
      <c r="I16" s="14">
        <f>SUM(I17:I31)</f>
        <v>12121200</v>
      </c>
      <c r="J16" s="14">
        <f>SUM(J17:J31)</f>
        <v>12121200</v>
      </c>
    </row>
    <row r="17" spans="2:10" x14ac:dyDescent="0.2">
      <c r="B17" s="15" t="s">
        <v>27</v>
      </c>
      <c r="C17" s="20" t="s">
        <v>74</v>
      </c>
      <c r="D17" s="17" t="s">
        <v>28</v>
      </c>
      <c r="E17" s="21">
        <v>26</v>
      </c>
      <c r="F17" s="19"/>
      <c r="G17" s="19">
        <v>5300</v>
      </c>
      <c r="H17" s="19"/>
      <c r="I17" s="19">
        <f>E17*G17</f>
        <v>137800</v>
      </c>
      <c r="J17" s="19">
        <f>H17+I17</f>
        <v>137800</v>
      </c>
    </row>
    <row r="18" spans="2:10" x14ac:dyDescent="0.2">
      <c r="B18" s="15" t="s">
        <v>29</v>
      </c>
      <c r="C18" s="20" t="s">
        <v>30</v>
      </c>
      <c r="D18" s="17" t="s">
        <v>31</v>
      </c>
      <c r="E18" s="21">
        <v>100</v>
      </c>
      <c r="F18" s="19"/>
      <c r="G18" s="19">
        <v>2200</v>
      </c>
      <c r="H18" s="19"/>
      <c r="I18" s="19">
        <f t="shared" ref="I18:I31" si="2">E18*G18</f>
        <v>220000</v>
      </c>
      <c r="J18" s="19">
        <f t="shared" ref="J18:J31" si="3">H18+I18</f>
        <v>220000</v>
      </c>
    </row>
    <row r="19" spans="2:10" x14ac:dyDescent="0.2">
      <c r="B19" s="15" t="s">
        <v>32</v>
      </c>
      <c r="C19" s="20" t="s">
        <v>119</v>
      </c>
      <c r="D19" s="17" t="s">
        <v>28</v>
      </c>
      <c r="E19" s="21">
        <v>36</v>
      </c>
      <c r="F19" s="19"/>
      <c r="G19" s="19">
        <v>3400</v>
      </c>
      <c r="H19" s="19"/>
      <c r="I19" s="19">
        <f t="shared" ref="I19" si="4">E19*G19</f>
        <v>122400</v>
      </c>
      <c r="J19" s="19">
        <f t="shared" ref="J19" si="5">H19+I19</f>
        <v>122400</v>
      </c>
    </row>
    <row r="20" spans="2:10" ht="40.5" customHeight="1" x14ac:dyDescent="0.2">
      <c r="B20" s="15" t="s">
        <v>33</v>
      </c>
      <c r="C20" s="20" t="s">
        <v>114</v>
      </c>
      <c r="D20" s="17" t="s">
        <v>17</v>
      </c>
      <c r="E20" s="21">
        <v>4</v>
      </c>
      <c r="F20" s="19"/>
      <c r="G20" s="19">
        <v>1450000</v>
      </c>
      <c r="H20" s="19"/>
      <c r="I20" s="19">
        <f t="shared" si="2"/>
        <v>5800000</v>
      </c>
      <c r="J20" s="19">
        <f t="shared" si="3"/>
        <v>5800000</v>
      </c>
    </row>
    <row r="21" spans="2:10" ht="20.25" customHeight="1" x14ac:dyDescent="0.2">
      <c r="B21" s="15" t="s">
        <v>36</v>
      </c>
      <c r="C21" s="20" t="s">
        <v>86</v>
      </c>
      <c r="D21" s="17" t="s">
        <v>17</v>
      </c>
      <c r="E21" s="21">
        <v>1</v>
      </c>
      <c r="F21" s="19"/>
      <c r="G21" s="19">
        <v>2450000</v>
      </c>
      <c r="H21" s="19"/>
      <c r="I21" s="19">
        <f t="shared" si="2"/>
        <v>2450000</v>
      </c>
      <c r="J21" s="19">
        <f t="shared" si="3"/>
        <v>2450000</v>
      </c>
    </row>
    <row r="22" spans="2:10" ht="15.75" customHeight="1" x14ac:dyDescent="0.2">
      <c r="B22" s="15" t="s">
        <v>37</v>
      </c>
      <c r="C22" s="20" t="s">
        <v>43</v>
      </c>
      <c r="D22" s="17" t="s">
        <v>35</v>
      </c>
      <c r="E22" s="21">
        <v>100</v>
      </c>
      <c r="F22" s="19"/>
      <c r="G22" s="19">
        <v>120</v>
      </c>
      <c r="H22" s="19"/>
      <c r="I22" s="19">
        <f>E22*G22</f>
        <v>12000</v>
      </c>
      <c r="J22" s="19">
        <f>H22+I22</f>
        <v>12000</v>
      </c>
    </row>
    <row r="23" spans="2:10" x14ac:dyDescent="0.2">
      <c r="B23" s="15" t="s">
        <v>38</v>
      </c>
      <c r="C23" s="20" t="s">
        <v>45</v>
      </c>
      <c r="D23" s="17" t="s">
        <v>35</v>
      </c>
      <c r="E23" s="21">
        <v>75</v>
      </c>
      <c r="F23" s="19"/>
      <c r="G23" s="19">
        <v>500</v>
      </c>
      <c r="H23" s="19"/>
      <c r="I23" s="19">
        <f>E23*G23</f>
        <v>37500</v>
      </c>
      <c r="J23" s="19">
        <f>H23+I23</f>
        <v>37500</v>
      </c>
    </row>
    <row r="24" spans="2:10" ht="12.75" customHeight="1" x14ac:dyDescent="0.2">
      <c r="B24" s="15" t="s">
        <v>40</v>
      </c>
      <c r="C24" s="55" t="s">
        <v>63</v>
      </c>
      <c r="D24" s="56" t="s">
        <v>35</v>
      </c>
      <c r="E24" s="57">
        <f>275*3*2</f>
        <v>1650</v>
      </c>
      <c r="F24" s="19"/>
      <c r="G24" s="19">
        <v>750</v>
      </c>
      <c r="H24" s="19"/>
      <c r="I24" s="19">
        <f t="shared" si="2"/>
        <v>1237500</v>
      </c>
      <c r="J24" s="19">
        <f t="shared" si="3"/>
        <v>1237500</v>
      </c>
    </row>
    <row r="25" spans="2:10" x14ac:dyDescent="0.2">
      <c r="B25" s="15" t="s">
        <v>42</v>
      </c>
      <c r="C25" s="20" t="s">
        <v>34</v>
      </c>
      <c r="D25" s="17" t="s">
        <v>35</v>
      </c>
      <c r="E25" s="21">
        <v>1100</v>
      </c>
      <c r="F25" s="19"/>
      <c r="G25" s="19">
        <v>1300</v>
      </c>
      <c r="H25" s="19"/>
      <c r="I25" s="19">
        <f t="shared" si="2"/>
        <v>1430000</v>
      </c>
      <c r="J25" s="19">
        <f t="shared" si="3"/>
        <v>1430000</v>
      </c>
    </row>
    <row r="26" spans="2:10" ht="15" customHeight="1" x14ac:dyDescent="0.2">
      <c r="B26" s="15" t="s">
        <v>44</v>
      </c>
      <c r="C26" s="20" t="s">
        <v>100</v>
      </c>
      <c r="D26" s="17" t="s">
        <v>35</v>
      </c>
      <c r="E26" s="21">
        <f>50*2</f>
        <v>100</v>
      </c>
      <c r="F26" s="19"/>
      <c r="G26" s="19">
        <v>1500</v>
      </c>
      <c r="H26" s="19"/>
      <c r="I26" s="19">
        <f t="shared" si="2"/>
        <v>150000</v>
      </c>
      <c r="J26" s="19">
        <f t="shared" si="3"/>
        <v>150000</v>
      </c>
    </row>
    <row r="27" spans="2:10" x14ac:dyDescent="0.2">
      <c r="B27" s="15" t="s">
        <v>48</v>
      </c>
      <c r="C27" s="55" t="s">
        <v>96</v>
      </c>
      <c r="D27" s="56" t="s">
        <v>28</v>
      </c>
      <c r="E27" s="57">
        <f>3*2</f>
        <v>6</v>
      </c>
      <c r="F27" s="19"/>
      <c r="G27" s="19">
        <v>7000</v>
      </c>
      <c r="H27" s="19"/>
      <c r="I27" s="19">
        <f t="shared" si="2"/>
        <v>42000</v>
      </c>
      <c r="J27" s="19">
        <f t="shared" si="3"/>
        <v>42000</v>
      </c>
    </row>
    <row r="28" spans="2:10" ht="15" customHeight="1" x14ac:dyDescent="0.2">
      <c r="B28" s="15" t="s">
        <v>87</v>
      </c>
      <c r="C28" s="55" t="s">
        <v>97</v>
      </c>
      <c r="D28" s="56" t="s">
        <v>17</v>
      </c>
      <c r="E28" s="57">
        <v>2</v>
      </c>
      <c r="F28" s="19"/>
      <c r="G28" s="19">
        <v>8000</v>
      </c>
      <c r="H28" s="19"/>
      <c r="I28" s="19">
        <f t="shared" si="2"/>
        <v>16000</v>
      </c>
      <c r="J28" s="19">
        <f t="shared" si="3"/>
        <v>16000</v>
      </c>
    </row>
    <row r="29" spans="2:10" x14ac:dyDescent="0.2">
      <c r="B29" s="15" t="s">
        <v>88</v>
      </c>
      <c r="C29" s="20" t="s">
        <v>95</v>
      </c>
      <c r="D29" s="17" t="s">
        <v>28</v>
      </c>
      <c r="E29" s="21">
        <f>4*2</f>
        <v>8</v>
      </c>
      <c r="F29" s="19"/>
      <c r="G29" s="19">
        <v>4500</v>
      </c>
      <c r="H29" s="19"/>
      <c r="I29" s="19">
        <f t="shared" si="2"/>
        <v>36000</v>
      </c>
      <c r="J29" s="19">
        <f t="shared" si="3"/>
        <v>36000</v>
      </c>
    </row>
    <row r="30" spans="2:10" ht="15" customHeight="1" x14ac:dyDescent="0.2">
      <c r="B30" s="15" t="s">
        <v>98</v>
      </c>
      <c r="C30" s="20" t="s">
        <v>39</v>
      </c>
      <c r="D30" s="17" t="s">
        <v>31</v>
      </c>
      <c r="E30" s="21">
        <v>300</v>
      </c>
      <c r="F30" s="19"/>
      <c r="G30" s="19">
        <v>600</v>
      </c>
      <c r="H30" s="19"/>
      <c r="I30" s="19">
        <f t="shared" si="2"/>
        <v>180000</v>
      </c>
      <c r="J30" s="19">
        <f t="shared" si="3"/>
        <v>180000</v>
      </c>
    </row>
    <row r="31" spans="2:10" x14ac:dyDescent="0.2">
      <c r="B31" s="15" t="s">
        <v>117</v>
      </c>
      <c r="C31" s="20" t="s">
        <v>41</v>
      </c>
      <c r="D31" s="17" t="s">
        <v>28</v>
      </c>
      <c r="E31" s="21">
        <f>1000/0.48</f>
        <v>2083.3333333333335</v>
      </c>
      <c r="F31" s="19"/>
      <c r="G31" s="19">
        <v>120</v>
      </c>
      <c r="H31" s="19"/>
      <c r="I31" s="19">
        <f t="shared" si="2"/>
        <v>250000.00000000003</v>
      </c>
      <c r="J31" s="19">
        <f t="shared" si="3"/>
        <v>250000.00000000003</v>
      </c>
    </row>
    <row r="32" spans="2:10" ht="25.5" customHeight="1" x14ac:dyDescent="0.2">
      <c r="B32" s="12" t="s">
        <v>77</v>
      </c>
      <c r="C32" s="13" t="s">
        <v>46</v>
      </c>
      <c r="D32" s="13"/>
      <c r="E32" s="13"/>
      <c r="F32" s="13"/>
      <c r="G32" s="13"/>
      <c r="H32" s="14">
        <f>SUM(H33:H42)</f>
        <v>3729300</v>
      </c>
      <c r="I32" s="14"/>
      <c r="J32" s="14">
        <f>SUM(J33:J42)</f>
        <v>3729300</v>
      </c>
    </row>
    <row r="33" spans="2:10" ht="25.5" x14ac:dyDescent="0.2">
      <c r="B33" s="15" t="s">
        <v>78</v>
      </c>
      <c r="C33" s="20" t="s">
        <v>111</v>
      </c>
      <c r="D33" s="17" t="s">
        <v>28</v>
      </c>
      <c r="E33" s="21">
        <v>26</v>
      </c>
      <c r="F33" s="19">
        <v>2500</v>
      </c>
      <c r="G33" s="19"/>
      <c r="H33" s="19">
        <f t="shared" ref="H33:H42" si="6">E33*F33</f>
        <v>65000</v>
      </c>
      <c r="I33" s="19"/>
      <c r="J33" s="19">
        <f t="shared" ref="J33:J42" si="7">H33+I33</f>
        <v>65000</v>
      </c>
    </row>
    <row r="34" spans="2:10" x14ac:dyDescent="0.2">
      <c r="B34" s="15" t="s">
        <v>79</v>
      </c>
      <c r="C34" s="20" t="s">
        <v>120</v>
      </c>
      <c r="D34" s="17" t="s">
        <v>28</v>
      </c>
      <c r="E34" s="21">
        <v>36</v>
      </c>
      <c r="F34" s="19">
        <v>2500</v>
      </c>
      <c r="G34" s="19"/>
      <c r="H34" s="19">
        <f t="shared" ref="H34" si="8">E34*F34</f>
        <v>90000</v>
      </c>
      <c r="I34" s="19"/>
      <c r="J34" s="19">
        <f t="shared" ref="J34" si="9">H34+I34</f>
        <v>90000</v>
      </c>
    </row>
    <row r="35" spans="2:10" ht="15" customHeight="1" x14ac:dyDescent="0.2">
      <c r="B35" s="15" t="s">
        <v>80</v>
      </c>
      <c r="C35" s="20" t="s">
        <v>72</v>
      </c>
      <c r="D35" s="17" t="s">
        <v>17</v>
      </c>
      <c r="E35" s="21">
        <f>E20</f>
        <v>4</v>
      </c>
      <c r="F35" s="19">
        <v>80000</v>
      </c>
      <c r="G35" s="19"/>
      <c r="H35" s="19">
        <f t="shared" si="6"/>
        <v>320000</v>
      </c>
      <c r="I35" s="19"/>
      <c r="J35" s="19">
        <f t="shared" si="7"/>
        <v>320000</v>
      </c>
    </row>
    <row r="36" spans="2:10" x14ac:dyDescent="0.2">
      <c r="B36" s="15" t="s">
        <v>81</v>
      </c>
      <c r="C36" s="20" t="s">
        <v>69</v>
      </c>
      <c r="D36" s="17" t="s">
        <v>17</v>
      </c>
      <c r="E36" s="21">
        <v>1</v>
      </c>
      <c r="F36" s="19">
        <v>80000</v>
      </c>
      <c r="G36" s="19"/>
      <c r="H36" s="19">
        <f t="shared" si="6"/>
        <v>80000</v>
      </c>
      <c r="I36" s="19"/>
      <c r="J36" s="19">
        <f t="shared" si="7"/>
        <v>80000</v>
      </c>
    </row>
    <row r="37" spans="2:10" ht="15" customHeight="1" x14ac:dyDescent="0.2">
      <c r="B37" s="15" t="s">
        <v>82</v>
      </c>
      <c r="C37" s="20" t="s">
        <v>101</v>
      </c>
      <c r="D37" s="27" t="s">
        <v>35</v>
      </c>
      <c r="E37" s="21">
        <f>E24</f>
        <v>1650</v>
      </c>
      <c r="F37" s="19">
        <v>950</v>
      </c>
      <c r="G37" s="19"/>
      <c r="H37" s="19">
        <f t="shared" si="6"/>
        <v>1567500</v>
      </c>
      <c r="I37" s="19"/>
      <c r="J37" s="19">
        <f t="shared" si="7"/>
        <v>1567500</v>
      </c>
    </row>
    <row r="38" spans="2:10" x14ac:dyDescent="0.2">
      <c r="B38" s="15" t="s">
        <v>83</v>
      </c>
      <c r="C38" s="20" t="s">
        <v>70</v>
      </c>
      <c r="D38" s="27" t="s">
        <v>35</v>
      </c>
      <c r="E38" s="21">
        <f>E25</f>
        <v>1100</v>
      </c>
      <c r="F38" s="19">
        <v>950</v>
      </c>
      <c r="G38" s="19"/>
      <c r="H38" s="19">
        <f>E38*F38</f>
        <v>1045000</v>
      </c>
      <c r="I38" s="19"/>
      <c r="J38" s="19">
        <f>H38+I38</f>
        <v>1045000</v>
      </c>
    </row>
    <row r="39" spans="2:10" ht="25.5" customHeight="1" x14ac:dyDescent="0.2">
      <c r="B39" s="15" t="s">
        <v>84</v>
      </c>
      <c r="C39" s="20" t="s">
        <v>99</v>
      </c>
      <c r="D39" s="27" t="s">
        <v>71</v>
      </c>
      <c r="E39" s="21">
        <f>0.5*0.1*1000</f>
        <v>50</v>
      </c>
      <c r="F39" s="19">
        <v>8000</v>
      </c>
      <c r="G39" s="19"/>
      <c r="H39" s="19">
        <f t="shared" si="6"/>
        <v>400000</v>
      </c>
      <c r="I39" s="19"/>
      <c r="J39" s="19">
        <f t="shared" si="7"/>
        <v>400000</v>
      </c>
    </row>
    <row r="40" spans="2:10" x14ac:dyDescent="0.2">
      <c r="B40" s="15" t="s">
        <v>85</v>
      </c>
      <c r="C40" s="20" t="s">
        <v>47</v>
      </c>
      <c r="D40" s="27" t="s">
        <v>31</v>
      </c>
      <c r="E40" s="21">
        <v>237</v>
      </c>
      <c r="F40" s="19">
        <v>400</v>
      </c>
      <c r="G40" s="19"/>
      <c r="H40" s="19">
        <f t="shared" si="6"/>
        <v>94800</v>
      </c>
      <c r="I40" s="19"/>
      <c r="J40" s="19">
        <f t="shared" si="7"/>
        <v>94800</v>
      </c>
    </row>
    <row r="41" spans="2:10" ht="15" customHeight="1" x14ac:dyDescent="0.2">
      <c r="B41" s="15" t="s">
        <v>90</v>
      </c>
      <c r="C41" s="20" t="s">
        <v>89</v>
      </c>
      <c r="D41" s="27" t="s">
        <v>28</v>
      </c>
      <c r="E41" s="21">
        <f>E28+E29</f>
        <v>10</v>
      </c>
      <c r="F41" s="19">
        <v>4000</v>
      </c>
      <c r="G41" s="19"/>
      <c r="H41" s="19">
        <f t="shared" si="6"/>
        <v>40000</v>
      </c>
      <c r="I41" s="19"/>
      <c r="J41" s="19">
        <f t="shared" si="7"/>
        <v>40000</v>
      </c>
    </row>
    <row r="42" spans="2:10" x14ac:dyDescent="0.2">
      <c r="B42" s="15" t="s">
        <v>129</v>
      </c>
      <c r="C42" s="20" t="s">
        <v>94</v>
      </c>
      <c r="D42" s="27" t="s">
        <v>28</v>
      </c>
      <c r="E42" s="21">
        <f>E27</f>
        <v>6</v>
      </c>
      <c r="F42" s="19">
        <v>4500</v>
      </c>
      <c r="G42" s="19"/>
      <c r="H42" s="19">
        <f t="shared" si="6"/>
        <v>27000</v>
      </c>
      <c r="I42" s="19"/>
      <c r="J42" s="19">
        <f t="shared" si="7"/>
        <v>27000</v>
      </c>
    </row>
    <row r="43" spans="2:10" ht="15" customHeight="1" x14ac:dyDescent="0.2">
      <c r="B43" s="12" t="s">
        <v>49</v>
      </c>
      <c r="C43" s="22" t="s">
        <v>53</v>
      </c>
      <c r="D43" s="24"/>
      <c r="E43" s="23"/>
      <c r="F43" s="23"/>
      <c r="G43" s="23"/>
      <c r="H43" s="14">
        <f t="shared" ref="H43" si="10">SUM(H44:H46)</f>
        <v>475000</v>
      </c>
      <c r="I43" s="14"/>
      <c r="J43" s="14">
        <f>SUM(J44:J46)</f>
        <v>475000</v>
      </c>
    </row>
    <row r="44" spans="2:10" x14ac:dyDescent="0.2">
      <c r="B44" s="15" t="s">
        <v>50</v>
      </c>
      <c r="C44" s="26" t="s">
        <v>91</v>
      </c>
      <c r="D44" s="17" t="s">
        <v>17</v>
      </c>
      <c r="E44" s="25">
        <v>4</v>
      </c>
      <c r="F44" s="19">
        <v>55000</v>
      </c>
      <c r="G44" s="19"/>
      <c r="H44" s="19">
        <f>E44*F44</f>
        <v>220000</v>
      </c>
      <c r="I44" s="19"/>
      <c r="J44" s="19">
        <f>H44+I44</f>
        <v>220000</v>
      </c>
    </row>
    <row r="45" spans="2:10" ht="15" customHeight="1" x14ac:dyDescent="0.2">
      <c r="B45" s="15" t="s">
        <v>51</v>
      </c>
      <c r="C45" s="36" t="s">
        <v>75</v>
      </c>
      <c r="D45" s="17" t="s">
        <v>17</v>
      </c>
      <c r="E45" s="25">
        <v>1</v>
      </c>
      <c r="F45" s="19">
        <v>55000</v>
      </c>
      <c r="G45" s="19"/>
      <c r="H45" s="19">
        <f t="shared" ref="H45:H46" si="11">E45*F45</f>
        <v>55000</v>
      </c>
      <c r="I45" s="19"/>
      <c r="J45" s="19">
        <f t="shared" ref="J45:J46" si="12">H45+I45</f>
        <v>55000</v>
      </c>
    </row>
    <row r="46" spans="2:10" ht="15.75" customHeight="1" x14ac:dyDescent="0.2">
      <c r="B46" s="15" t="s">
        <v>52</v>
      </c>
      <c r="C46" s="36" t="s">
        <v>92</v>
      </c>
      <c r="D46" s="17" t="s">
        <v>93</v>
      </c>
      <c r="E46" s="25">
        <f>4+2*3</f>
        <v>10</v>
      </c>
      <c r="F46" s="19">
        <v>20000</v>
      </c>
      <c r="G46" s="19"/>
      <c r="H46" s="19">
        <f t="shared" si="11"/>
        <v>200000</v>
      </c>
      <c r="I46" s="19"/>
      <c r="J46" s="19">
        <f t="shared" si="12"/>
        <v>200000</v>
      </c>
    </row>
    <row r="48" spans="2:10" x14ac:dyDescent="0.2">
      <c r="C48" s="38" t="s">
        <v>118</v>
      </c>
      <c r="D48" s="40">
        <f>I2</f>
        <v>17415500</v>
      </c>
    </row>
    <row r="49" spans="3:5" ht="15" customHeight="1" x14ac:dyDescent="0.2">
      <c r="C49" s="42" t="str">
        <f>G3</f>
        <v>Стоимость материалов</v>
      </c>
      <c r="D49" s="54">
        <f>I3</f>
        <v>12121200</v>
      </c>
    </row>
    <row r="50" spans="3:5" x14ac:dyDescent="0.2">
      <c r="C50" s="42" t="s">
        <v>112</v>
      </c>
      <c r="D50" s="54">
        <f>D54</f>
        <v>3572500</v>
      </c>
    </row>
    <row r="51" spans="3:5" ht="15" customHeight="1" x14ac:dyDescent="0.2">
      <c r="C51" s="44" t="s">
        <v>125</v>
      </c>
      <c r="D51" s="41">
        <f>I2-I3-D50</f>
        <v>1721800</v>
      </c>
    </row>
    <row r="52" spans="3:5" x14ac:dyDescent="0.2">
      <c r="C52" s="44" t="s">
        <v>126</v>
      </c>
      <c r="D52" s="53">
        <f>D51/D48</f>
        <v>9.8865952743245958E-2</v>
      </c>
    </row>
    <row r="53" spans="3:5" ht="15" customHeight="1" x14ac:dyDescent="0.2"/>
    <row r="54" spans="3:5" x14ac:dyDescent="0.2">
      <c r="C54" s="51" t="s">
        <v>123</v>
      </c>
      <c r="D54" s="41">
        <f>SUM(D55:D62)</f>
        <v>3572500</v>
      </c>
    </row>
    <row r="55" spans="3:5" ht="15" customHeight="1" x14ac:dyDescent="0.2">
      <c r="C55" s="43" t="s">
        <v>115</v>
      </c>
      <c r="D55" s="54">
        <f>J8</f>
        <v>1090000</v>
      </c>
    </row>
    <row r="56" spans="3:5" ht="15" customHeight="1" x14ac:dyDescent="0.2">
      <c r="C56" s="43" t="s">
        <v>127</v>
      </c>
      <c r="D56" s="54">
        <v>140000</v>
      </c>
    </row>
    <row r="57" spans="3:5" ht="15" customHeight="1" x14ac:dyDescent="0.2">
      <c r="C57" s="43" t="s">
        <v>130</v>
      </c>
      <c r="D57" s="54">
        <f>50000*2</f>
        <v>100000</v>
      </c>
    </row>
    <row r="58" spans="3:5" x14ac:dyDescent="0.2">
      <c r="C58" s="43" t="s">
        <v>116</v>
      </c>
      <c r="D58" s="54">
        <v>750000</v>
      </c>
    </row>
    <row r="59" spans="3:5" ht="15" customHeight="1" x14ac:dyDescent="0.2">
      <c r="C59" s="43" t="s">
        <v>103</v>
      </c>
      <c r="D59" s="54">
        <f>J43</f>
        <v>475000</v>
      </c>
    </row>
    <row r="60" spans="3:5" ht="25.5" x14ac:dyDescent="0.2">
      <c r="C60" s="43" t="s">
        <v>121</v>
      </c>
      <c r="D60" s="54">
        <f>30*700*35/2</f>
        <v>367500</v>
      </c>
    </row>
    <row r="61" spans="3:5" ht="15" customHeight="1" x14ac:dyDescent="0.2">
      <c r="C61" s="43" t="s">
        <v>108</v>
      </c>
      <c r="D61" s="54">
        <f>J39</f>
        <v>400000</v>
      </c>
    </row>
    <row r="62" spans="3:5" ht="25.5" x14ac:dyDescent="0.2">
      <c r="C62" s="43" t="s">
        <v>113</v>
      </c>
      <c r="D62" s="54">
        <v>250000</v>
      </c>
    </row>
    <row r="63" spans="3:5" x14ac:dyDescent="0.2">
      <c r="C63" s="46"/>
      <c r="D63" s="47"/>
    </row>
    <row r="64" spans="3:5" ht="25.5" x14ac:dyDescent="0.2">
      <c r="C64" s="52" t="s">
        <v>124</v>
      </c>
      <c r="D64" s="48">
        <f>SUM(D65:D67)/30</f>
        <v>6.5</v>
      </c>
      <c r="E64" s="45" t="s">
        <v>107</v>
      </c>
    </row>
    <row r="65" spans="3:5" ht="25.5" x14ac:dyDescent="0.2">
      <c r="C65" s="43" t="s">
        <v>128</v>
      </c>
      <c r="D65" s="49">
        <v>75</v>
      </c>
      <c r="E65" s="45" t="s">
        <v>106</v>
      </c>
    </row>
    <row r="66" spans="3:5" x14ac:dyDescent="0.2">
      <c r="C66" s="43" t="s">
        <v>104</v>
      </c>
      <c r="D66" s="49">
        <v>60</v>
      </c>
      <c r="E66" s="45" t="s">
        <v>106</v>
      </c>
    </row>
    <row r="67" spans="3:5" x14ac:dyDescent="0.2">
      <c r="C67" s="43" t="s">
        <v>105</v>
      </c>
      <c r="D67" s="49">
        <v>60</v>
      </c>
      <c r="E67" s="45" t="s">
        <v>106</v>
      </c>
    </row>
    <row r="68" spans="3:5" x14ac:dyDescent="0.2">
      <c r="C68" s="43" t="s">
        <v>122</v>
      </c>
      <c r="D68" s="50">
        <v>15</v>
      </c>
      <c r="E68" s="45" t="s">
        <v>106</v>
      </c>
    </row>
  </sheetData>
  <customSheetViews>
    <customSheetView guid="{882E0392-D269-42DD-BDF0-ED3FDF433F74}" scale="115" hiddenColumns="1" state="hidden">
      <selection activeCell="I2" sqref="I2"/>
      <pageMargins left="0.7" right="0.7" top="0.75" bottom="0.75" header="0.3" footer="0.3"/>
      <pageSetup paperSize="9" orientation="portrait" r:id="rId1"/>
    </customSheetView>
    <customSheetView guid="{35B78686-7F38-428F-B6DC-5FF68CC889ED}" scale="115" hiddenColumns="1" state="hidden">
      <selection activeCell="I2" sqref="I2"/>
      <pageMargins left="0.7" right="0.7" top="0.75" bottom="0.75" header="0.3" footer="0.3"/>
      <pageSetup paperSize="9" orientation="portrait" r:id="rId2"/>
    </customSheetView>
    <customSheetView guid="{D4709385-241B-4535-8AFF-06BD2C7DFD52}" scale="115" hiddenColumns="1" state="hidden">
      <selection activeCell="I2" sqref="I2"/>
      <pageMargins left="0.7" right="0.7" top="0.75" bottom="0.75" header="0.3" footer="0.3"/>
      <pageSetup paperSize="9" orientation="portrait" r:id="rId3"/>
    </customSheetView>
  </customSheetViews>
  <mergeCells count="10">
    <mergeCell ref="G4:H4"/>
    <mergeCell ref="B1:J1"/>
    <mergeCell ref="G2:H2"/>
    <mergeCell ref="G3:H3"/>
    <mergeCell ref="H5:J5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XFC56"/>
  <sheetViews>
    <sheetView tabSelected="1" zoomScale="115" zoomScaleNormal="130" workbookViewId="0">
      <selection activeCell="B1" sqref="B1:J1"/>
    </sheetView>
  </sheetViews>
  <sheetFormatPr defaultColWidth="9.140625" defaultRowHeight="12.75" x14ac:dyDescent="0.2"/>
  <cols>
    <col min="1" max="1" width="9.140625" style="39" customWidth="1"/>
    <col min="2" max="2" width="4.42578125" style="39" customWidth="1"/>
    <col min="3" max="3" width="56" style="39" customWidth="1"/>
    <col min="4" max="4" width="17.5703125" style="39" customWidth="1"/>
    <col min="5" max="5" width="12" style="39" customWidth="1"/>
    <col min="6" max="6" width="14.42578125" style="39" customWidth="1"/>
    <col min="7" max="7" width="14.85546875" style="39" customWidth="1"/>
    <col min="8" max="8" width="15.42578125" style="39" customWidth="1"/>
    <col min="9" max="9" width="15.85546875" style="39" customWidth="1"/>
    <col min="10" max="10" width="17.5703125" style="39" customWidth="1"/>
    <col min="11" max="16382" width="9.140625" style="39" hidden="1" customWidth="1"/>
    <col min="16383" max="16384" width="18.7109375" style="39" customWidth="1"/>
  </cols>
  <sheetData>
    <row r="1" spans="2:10 16383:16383" ht="43.5" customHeight="1" x14ac:dyDescent="0.2">
      <c r="B1" s="74" t="s">
        <v>149</v>
      </c>
      <c r="C1" s="75"/>
      <c r="D1" s="75"/>
      <c r="E1" s="75"/>
      <c r="F1" s="75"/>
      <c r="G1" s="75"/>
      <c r="H1" s="75"/>
      <c r="I1" s="75"/>
      <c r="J1" s="76"/>
    </row>
    <row r="2" spans="2:10 16383:16383" x14ac:dyDescent="0.2">
      <c r="B2" s="1"/>
      <c r="C2" s="2"/>
      <c r="D2" s="3"/>
      <c r="E2" s="3"/>
      <c r="F2" s="4"/>
      <c r="G2" s="77" t="s">
        <v>1</v>
      </c>
      <c r="H2" s="78"/>
      <c r="I2" s="40">
        <f>J8+J11+J24+J32</f>
        <v>12595615</v>
      </c>
      <c r="J2" s="5" t="s">
        <v>2</v>
      </c>
    </row>
    <row r="3" spans="2:10 16383:16383" x14ac:dyDescent="0.2">
      <c r="B3" s="1"/>
      <c r="C3" s="2"/>
      <c r="D3" s="3"/>
      <c r="E3" s="3"/>
      <c r="F3" s="4"/>
      <c r="G3" s="79" t="s">
        <v>3</v>
      </c>
      <c r="H3" s="73"/>
      <c r="I3" s="19">
        <f>I8+I11+I24+I32</f>
        <v>7796615</v>
      </c>
      <c r="J3" s="5" t="s">
        <v>2</v>
      </c>
    </row>
    <row r="4" spans="2:10 16383:16383" x14ac:dyDescent="0.2">
      <c r="B4" s="1"/>
      <c r="C4" s="2"/>
      <c r="D4" s="3"/>
      <c r="E4" s="3"/>
      <c r="F4" s="4"/>
      <c r="G4" s="73" t="s">
        <v>4</v>
      </c>
      <c r="H4" s="73"/>
      <c r="I4" s="65">
        <f>H8+H11+H24+H32</f>
        <v>4799000</v>
      </c>
      <c r="J4" s="5" t="s">
        <v>2</v>
      </c>
    </row>
    <row r="5" spans="2:10 16383:16383" x14ac:dyDescent="0.2">
      <c r="B5" s="83" t="s">
        <v>5</v>
      </c>
      <c r="C5" s="85" t="s">
        <v>6</v>
      </c>
      <c r="D5" s="85" t="s">
        <v>7</v>
      </c>
      <c r="E5" s="85" t="s">
        <v>8</v>
      </c>
      <c r="F5" s="80" t="s">
        <v>9</v>
      </c>
      <c r="G5" s="81"/>
      <c r="H5" s="88" t="s">
        <v>10</v>
      </c>
      <c r="I5" s="88"/>
      <c r="J5" s="88"/>
    </row>
    <row r="6" spans="2:10 16383:16383" ht="25.5" x14ac:dyDescent="0.2">
      <c r="B6" s="84"/>
      <c r="C6" s="86"/>
      <c r="D6" s="86"/>
      <c r="E6" s="86"/>
      <c r="F6" s="6" t="s">
        <v>4</v>
      </c>
      <c r="G6" s="61" t="s">
        <v>3</v>
      </c>
      <c r="H6" s="62" t="s">
        <v>4</v>
      </c>
      <c r="I6" s="62" t="s">
        <v>11</v>
      </c>
      <c r="J6" s="62" t="s">
        <v>12</v>
      </c>
    </row>
    <row r="7" spans="2:10 16383:16383" x14ac:dyDescent="0.2">
      <c r="B7" s="8">
        <v>1</v>
      </c>
      <c r="C7" s="9">
        <v>2</v>
      </c>
      <c r="D7" s="9">
        <v>3</v>
      </c>
      <c r="E7" s="9">
        <v>4</v>
      </c>
      <c r="F7" s="9">
        <v>5</v>
      </c>
      <c r="G7" s="63">
        <v>6</v>
      </c>
      <c r="H7" s="66">
        <v>7</v>
      </c>
      <c r="I7" s="66">
        <v>8</v>
      </c>
      <c r="J7" s="66">
        <v>9</v>
      </c>
    </row>
    <row r="8" spans="2:10 16383:16383" ht="25.5" x14ac:dyDescent="0.2">
      <c r="B8" s="12" t="s">
        <v>13</v>
      </c>
      <c r="C8" s="13" t="s">
        <v>14</v>
      </c>
      <c r="D8" s="13"/>
      <c r="E8" s="13"/>
      <c r="F8" s="13"/>
      <c r="G8" s="64"/>
      <c r="H8" s="14">
        <f>SUM(H9:H10)</f>
        <v>585000</v>
      </c>
      <c r="I8" s="14"/>
      <c r="J8" s="14">
        <f>SUM(J9:J10)</f>
        <v>585000</v>
      </c>
      <c r="XFC8" s="67"/>
    </row>
    <row r="9" spans="2:10 16383:16383" ht="181.5" customHeight="1" x14ac:dyDescent="0.2">
      <c r="B9" s="15" t="s">
        <v>15</v>
      </c>
      <c r="C9" s="26" t="s">
        <v>140</v>
      </c>
      <c r="D9" s="17" t="s">
        <v>17</v>
      </c>
      <c r="E9" s="18">
        <v>1</v>
      </c>
      <c r="F9" s="19">
        <v>500000</v>
      </c>
      <c r="G9" s="19"/>
      <c r="H9" s="19">
        <f t="shared" ref="H9:H10" si="0">F9*E9</f>
        <v>500000</v>
      </c>
      <c r="I9" s="19"/>
      <c r="J9" s="19">
        <f t="shared" ref="J9" si="1">H9+I9</f>
        <v>500000</v>
      </c>
    </row>
    <row r="10" spans="2:10 16383:16383" ht="76.5" x14ac:dyDescent="0.2">
      <c r="B10" s="15" t="s">
        <v>18</v>
      </c>
      <c r="C10" s="26" t="s">
        <v>142</v>
      </c>
      <c r="D10" s="17" t="s">
        <v>17</v>
      </c>
      <c r="E10" s="18">
        <v>1</v>
      </c>
      <c r="F10" s="19">
        <v>85000</v>
      </c>
      <c r="G10" s="19"/>
      <c r="H10" s="19">
        <f t="shared" si="0"/>
        <v>85000</v>
      </c>
      <c r="I10" s="19"/>
      <c r="J10" s="19">
        <f>H10+I10</f>
        <v>85000</v>
      </c>
    </row>
    <row r="11" spans="2:10 16383:16383" x14ac:dyDescent="0.2">
      <c r="B11" s="12" t="s">
        <v>26</v>
      </c>
      <c r="C11" s="13" t="s">
        <v>73</v>
      </c>
      <c r="D11" s="13"/>
      <c r="E11" s="13"/>
      <c r="F11" s="13"/>
      <c r="G11" s="13"/>
      <c r="H11" s="14"/>
      <c r="I11" s="14">
        <f>SUM(I12:I23)</f>
        <v>7796615</v>
      </c>
      <c r="J11" s="14">
        <f>SUM(J12:J23)</f>
        <v>7796615</v>
      </c>
      <c r="XFC11" s="67"/>
    </row>
    <row r="12" spans="2:10 16383:16383" x14ac:dyDescent="0.2">
      <c r="B12" s="15" t="s">
        <v>27</v>
      </c>
      <c r="C12" s="20" t="s">
        <v>131</v>
      </c>
      <c r="D12" s="17" t="s">
        <v>31</v>
      </c>
      <c r="E12" s="21">
        <v>15</v>
      </c>
      <c r="F12" s="19"/>
      <c r="G12" s="19">
        <v>2300</v>
      </c>
      <c r="H12" s="19"/>
      <c r="I12" s="19">
        <f t="shared" ref="I12:I23" si="2">E12*G12</f>
        <v>34500</v>
      </c>
      <c r="J12" s="19">
        <f t="shared" ref="J12:J23" si="3">H12+I12</f>
        <v>34500</v>
      </c>
    </row>
    <row r="13" spans="2:10 16383:16383" x14ac:dyDescent="0.2">
      <c r="B13" s="15" t="s">
        <v>29</v>
      </c>
      <c r="C13" s="20" t="s">
        <v>139</v>
      </c>
      <c r="D13" s="17" t="s">
        <v>28</v>
      </c>
      <c r="E13" s="21">
        <f>5*2</f>
        <v>10</v>
      </c>
      <c r="F13" s="19"/>
      <c r="G13" s="19">
        <v>3950</v>
      </c>
      <c r="H13" s="19"/>
      <c r="I13" s="19">
        <f t="shared" si="2"/>
        <v>39500</v>
      </c>
      <c r="J13" s="19">
        <f t="shared" si="3"/>
        <v>39500</v>
      </c>
    </row>
    <row r="14" spans="2:10 16383:16383" ht="40.5" customHeight="1" x14ac:dyDescent="0.2">
      <c r="B14" s="15" t="s">
        <v>32</v>
      </c>
      <c r="C14" s="20" t="s">
        <v>144</v>
      </c>
      <c r="D14" s="17" t="s">
        <v>17</v>
      </c>
      <c r="E14" s="21">
        <v>4</v>
      </c>
      <c r="F14" s="19"/>
      <c r="G14" s="19">
        <v>1200000</v>
      </c>
      <c r="H14" s="19"/>
      <c r="I14" s="19">
        <f t="shared" si="2"/>
        <v>4800000</v>
      </c>
      <c r="J14" s="19">
        <f t="shared" si="3"/>
        <v>4800000</v>
      </c>
    </row>
    <row r="15" spans="2:10 16383:16383" ht="39" customHeight="1" x14ac:dyDescent="0.2">
      <c r="B15" s="15" t="s">
        <v>33</v>
      </c>
      <c r="C15" s="20" t="s">
        <v>145</v>
      </c>
      <c r="D15" s="17" t="s">
        <v>17</v>
      </c>
      <c r="E15" s="21">
        <v>1</v>
      </c>
      <c r="F15" s="19"/>
      <c r="G15" s="19">
        <v>1030978</v>
      </c>
      <c r="H15" s="19"/>
      <c r="I15" s="19">
        <f t="shared" si="2"/>
        <v>1030978</v>
      </c>
      <c r="J15" s="19">
        <f t="shared" si="3"/>
        <v>1030978</v>
      </c>
      <c r="XFC15" s="67"/>
    </row>
    <row r="16" spans="2:10 16383:16383" ht="15.75" customHeight="1" x14ac:dyDescent="0.2">
      <c r="B16" s="15" t="s">
        <v>36</v>
      </c>
      <c r="C16" s="20" t="s">
        <v>43</v>
      </c>
      <c r="D16" s="17" t="s">
        <v>35</v>
      </c>
      <c r="E16" s="21">
        <v>100</v>
      </c>
      <c r="F16" s="19"/>
      <c r="G16" s="19">
        <v>145</v>
      </c>
      <c r="H16" s="19"/>
      <c r="I16" s="19">
        <f t="shared" si="2"/>
        <v>14500</v>
      </c>
      <c r="J16" s="19">
        <f t="shared" si="3"/>
        <v>14500</v>
      </c>
    </row>
    <row r="17" spans="2:10" x14ac:dyDescent="0.2">
      <c r="B17" s="15" t="s">
        <v>37</v>
      </c>
      <c r="C17" s="20" t="s">
        <v>45</v>
      </c>
      <c r="D17" s="17" t="s">
        <v>35</v>
      </c>
      <c r="E17" s="21">
        <v>75</v>
      </c>
      <c r="F17" s="19"/>
      <c r="G17" s="19">
        <v>595</v>
      </c>
      <c r="H17" s="19"/>
      <c r="I17" s="19">
        <f t="shared" si="2"/>
        <v>44625</v>
      </c>
      <c r="J17" s="19">
        <f t="shared" si="3"/>
        <v>44625</v>
      </c>
    </row>
    <row r="18" spans="2:10" x14ac:dyDescent="0.2">
      <c r="B18" s="15" t="s">
        <v>40</v>
      </c>
      <c r="C18" s="20" t="s">
        <v>143</v>
      </c>
      <c r="D18" s="17" t="s">
        <v>35</v>
      </c>
      <c r="E18" s="21">
        <v>1300</v>
      </c>
      <c r="F18" s="19"/>
      <c r="G18" s="19">
        <v>770</v>
      </c>
      <c r="H18" s="19"/>
      <c r="I18" s="19">
        <f t="shared" si="2"/>
        <v>1001000</v>
      </c>
      <c r="J18" s="19">
        <f t="shared" si="3"/>
        <v>1001000</v>
      </c>
    </row>
    <row r="19" spans="2:10" s="68" customFormat="1" ht="15" customHeight="1" x14ac:dyDescent="0.2">
      <c r="B19" s="15" t="s">
        <v>42</v>
      </c>
      <c r="C19" s="20" t="s">
        <v>138</v>
      </c>
      <c r="D19" s="17" t="s">
        <v>35</v>
      </c>
      <c r="E19" s="21">
        <v>1300</v>
      </c>
      <c r="F19" s="19"/>
      <c r="G19" s="19">
        <v>467</v>
      </c>
      <c r="H19" s="19"/>
      <c r="I19" s="19">
        <f t="shared" si="2"/>
        <v>607100</v>
      </c>
      <c r="J19" s="19">
        <f t="shared" si="3"/>
        <v>607100</v>
      </c>
    </row>
    <row r="20" spans="2:10" ht="26.25" customHeight="1" x14ac:dyDescent="0.2">
      <c r="B20" s="15" t="s">
        <v>44</v>
      </c>
      <c r="C20" s="20" t="s">
        <v>147</v>
      </c>
      <c r="D20" s="17" t="s">
        <v>28</v>
      </c>
      <c r="E20" s="21">
        <v>6</v>
      </c>
      <c r="F20" s="19"/>
      <c r="G20" s="19">
        <v>2652</v>
      </c>
      <c r="H20" s="19"/>
      <c r="I20" s="19">
        <f t="shared" si="2"/>
        <v>15912</v>
      </c>
      <c r="J20" s="19">
        <f t="shared" si="3"/>
        <v>15912</v>
      </c>
    </row>
    <row r="21" spans="2:10" ht="25.5" x14ac:dyDescent="0.2">
      <c r="B21" s="15" t="s">
        <v>48</v>
      </c>
      <c r="C21" s="20" t="s">
        <v>148</v>
      </c>
      <c r="D21" s="17" t="s">
        <v>28</v>
      </c>
      <c r="E21" s="21">
        <v>10</v>
      </c>
      <c r="F21" s="19"/>
      <c r="G21" s="19">
        <v>6900</v>
      </c>
      <c r="H21" s="19"/>
      <c r="I21" s="19">
        <f t="shared" si="2"/>
        <v>69000</v>
      </c>
      <c r="J21" s="19">
        <f t="shared" si="3"/>
        <v>69000</v>
      </c>
    </row>
    <row r="22" spans="2:10" ht="15" customHeight="1" x14ac:dyDescent="0.2">
      <c r="B22" s="15" t="s">
        <v>87</v>
      </c>
      <c r="C22" s="20" t="s">
        <v>136</v>
      </c>
      <c r="D22" s="17" t="s">
        <v>31</v>
      </c>
      <c r="E22" s="21">
        <v>120</v>
      </c>
      <c r="F22" s="19"/>
      <c r="G22" s="19">
        <v>480</v>
      </c>
      <c r="H22" s="19"/>
      <c r="I22" s="19">
        <f t="shared" si="2"/>
        <v>57600</v>
      </c>
      <c r="J22" s="19">
        <f t="shared" si="3"/>
        <v>57600</v>
      </c>
    </row>
    <row r="23" spans="2:10" x14ac:dyDescent="0.2">
      <c r="B23" s="15" t="s">
        <v>88</v>
      </c>
      <c r="C23" s="20" t="s">
        <v>41</v>
      </c>
      <c r="D23" s="17" t="s">
        <v>28</v>
      </c>
      <c r="E23" s="21">
        <v>2100</v>
      </c>
      <c r="F23" s="19"/>
      <c r="G23" s="19">
        <v>39</v>
      </c>
      <c r="H23" s="19"/>
      <c r="I23" s="19">
        <f t="shared" si="2"/>
        <v>81900</v>
      </c>
      <c r="J23" s="19">
        <f t="shared" si="3"/>
        <v>81900</v>
      </c>
    </row>
    <row r="24" spans="2:10" ht="25.5" customHeight="1" x14ac:dyDescent="0.2">
      <c r="B24" s="12" t="s">
        <v>77</v>
      </c>
      <c r="C24" s="13" t="s">
        <v>46</v>
      </c>
      <c r="D24" s="13"/>
      <c r="E24" s="13"/>
      <c r="F24" s="13"/>
      <c r="G24" s="13"/>
      <c r="H24" s="14">
        <f>SUM(H25:H31)</f>
        <v>3684000</v>
      </c>
      <c r="I24" s="14"/>
      <c r="J24" s="14">
        <f>SUM(J25:J31)</f>
        <v>3684000</v>
      </c>
    </row>
    <row r="25" spans="2:10" x14ac:dyDescent="0.2">
      <c r="B25" s="15" t="s">
        <v>78</v>
      </c>
      <c r="C25" s="20" t="s">
        <v>132</v>
      </c>
      <c r="D25" s="17" t="s">
        <v>17</v>
      </c>
      <c r="E25" s="21">
        <v>5</v>
      </c>
      <c r="F25" s="19">
        <v>9500</v>
      </c>
      <c r="G25" s="19"/>
      <c r="H25" s="19">
        <f t="shared" ref="H25:H31" si="4">E25*F25</f>
        <v>47500</v>
      </c>
      <c r="I25" s="19"/>
      <c r="J25" s="19">
        <f t="shared" ref="J25:J31" si="5">H25+I25</f>
        <v>47500</v>
      </c>
    </row>
    <row r="26" spans="2:10" x14ac:dyDescent="0.2">
      <c r="B26" s="15" t="s">
        <v>79</v>
      </c>
      <c r="C26" s="20" t="s">
        <v>133</v>
      </c>
      <c r="D26" s="17" t="s">
        <v>17</v>
      </c>
      <c r="E26" s="21">
        <v>5</v>
      </c>
      <c r="F26" s="19">
        <v>9500</v>
      </c>
      <c r="G26" s="19"/>
      <c r="H26" s="19">
        <f t="shared" si="4"/>
        <v>47500</v>
      </c>
      <c r="I26" s="19"/>
      <c r="J26" s="19">
        <f t="shared" si="5"/>
        <v>47500</v>
      </c>
    </row>
    <row r="27" spans="2:10" x14ac:dyDescent="0.2">
      <c r="B27" s="15" t="s">
        <v>80</v>
      </c>
      <c r="C27" s="20" t="s">
        <v>120</v>
      </c>
      <c r="D27" s="17" t="s">
        <v>28</v>
      </c>
      <c r="E27" s="21">
        <v>36</v>
      </c>
      <c r="F27" s="19">
        <v>4000</v>
      </c>
      <c r="G27" s="19"/>
      <c r="H27" s="19">
        <f t="shared" si="4"/>
        <v>144000</v>
      </c>
      <c r="I27" s="19"/>
      <c r="J27" s="19">
        <f t="shared" si="5"/>
        <v>144000</v>
      </c>
    </row>
    <row r="28" spans="2:10" ht="15" customHeight="1" x14ac:dyDescent="0.2">
      <c r="B28" s="15" t="s">
        <v>81</v>
      </c>
      <c r="C28" s="20" t="s">
        <v>72</v>
      </c>
      <c r="D28" s="17" t="s">
        <v>17</v>
      </c>
      <c r="E28" s="21">
        <f>E14</f>
        <v>4</v>
      </c>
      <c r="F28" s="19">
        <v>320000</v>
      </c>
      <c r="G28" s="19"/>
      <c r="H28" s="19">
        <f t="shared" si="4"/>
        <v>1280000</v>
      </c>
      <c r="I28" s="19"/>
      <c r="J28" s="19">
        <f t="shared" si="5"/>
        <v>1280000</v>
      </c>
    </row>
    <row r="29" spans="2:10" x14ac:dyDescent="0.2">
      <c r="B29" s="15" t="s">
        <v>82</v>
      </c>
      <c r="C29" s="20" t="s">
        <v>69</v>
      </c>
      <c r="D29" s="17" t="s">
        <v>17</v>
      </c>
      <c r="E29" s="21">
        <v>1</v>
      </c>
      <c r="F29" s="19">
        <v>200000</v>
      </c>
      <c r="G29" s="19"/>
      <c r="H29" s="19">
        <f t="shared" si="4"/>
        <v>200000</v>
      </c>
      <c r="I29" s="19"/>
      <c r="J29" s="19">
        <f t="shared" si="5"/>
        <v>200000</v>
      </c>
    </row>
    <row r="30" spans="2:10" ht="25.5" x14ac:dyDescent="0.2">
      <c r="B30" s="15" t="s">
        <v>83</v>
      </c>
      <c r="C30" s="20" t="s">
        <v>146</v>
      </c>
      <c r="D30" s="27" t="s">
        <v>35</v>
      </c>
      <c r="E30" s="21">
        <f>E19</f>
        <v>1300</v>
      </c>
      <c r="F30" s="19">
        <v>1450</v>
      </c>
      <c r="G30" s="19"/>
      <c r="H30" s="19">
        <f>E30*F30</f>
        <v>1885000</v>
      </c>
      <c r="I30" s="19"/>
      <c r="J30" s="19">
        <f>H30+I30</f>
        <v>1885000</v>
      </c>
    </row>
    <row r="31" spans="2:10" ht="15" customHeight="1" x14ac:dyDescent="0.2">
      <c r="B31" s="15" t="s">
        <v>84</v>
      </c>
      <c r="C31" s="20" t="s">
        <v>89</v>
      </c>
      <c r="D31" s="27" t="s">
        <v>28</v>
      </c>
      <c r="E31" s="21">
        <f>E20+E21</f>
        <v>16</v>
      </c>
      <c r="F31" s="19">
        <v>5000</v>
      </c>
      <c r="G31" s="19"/>
      <c r="H31" s="19">
        <f t="shared" si="4"/>
        <v>80000</v>
      </c>
      <c r="I31" s="19"/>
      <c r="J31" s="19">
        <f t="shared" si="5"/>
        <v>80000</v>
      </c>
    </row>
    <row r="32" spans="2:10" ht="15" customHeight="1" x14ac:dyDescent="0.2">
      <c r="B32" s="12" t="s">
        <v>49</v>
      </c>
      <c r="C32" s="22" t="s">
        <v>53</v>
      </c>
      <c r="D32" s="24"/>
      <c r="E32" s="23"/>
      <c r="F32" s="23"/>
      <c r="G32" s="23"/>
      <c r="H32" s="14">
        <f>SUM(H33:H36)</f>
        <v>530000</v>
      </c>
      <c r="I32" s="14"/>
      <c r="J32" s="14">
        <f>SUM(J33:J36)</f>
        <v>530000</v>
      </c>
    </row>
    <row r="33" spans="2:10" x14ac:dyDescent="0.2">
      <c r="B33" s="15" t="s">
        <v>50</v>
      </c>
      <c r="C33" s="26" t="s">
        <v>91</v>
      </c>
      <c r="D33" s="17" t="s">
        <v>17</v>
      </c>
      <c r="E33" s="25">
        <v>4</v>
      </c>
      <c r="F33" s="19">
        <v>75000</v>
      </c>
      <c r="G33" s="19"/>
      <c r="H33" s="19">
        <f>E33*F33</f>
        <v>300000</v>
      </c>
      <c r="I33" s="19"/>
      <c r="J33" s="19">
        <f>H33+I33</f>
        <v>300000</v>
      </c>
    </row>
    <row r="34" spans="2:10" ht="15" customHeight="1" x14ac:dyDescent="0.2">
      <c r="B34" s="15" t="s">
        <v>51</v>
      </c>
      <c r="C34" s="36" t="s">
        <v>75</v>
      </c>
      <c r="D34" s="17" t="s">
        <v>17</v>
      </c>
      <c r="E34" s="25">
        <v>1</v>
      </c>
      <c r="F34" s="19">
        <f>53000*2</f>
        <v>106000</v>
      </c>
      <c r="G34" s="19"/>
      <c r="H34" s="19">
        <f t="shared" ref="H34:H36" si="6">E34*F34</f>
        <v>106000</v>
      </c>
      <c r="I34" s="19"/>
      <c r="J34" s="19">
        <f t="shared" ref="J34:J36" si="7">H34+I34</f>
        <v>106000</v>
      </c>
    </row>
    <row r="35" spans="2:10" ht="15.75" customHeight="1" x14ac:dyDescent="0.2">
      <c r="B35" s="15" t="s">
        <v>52</v>
      </c>
      <c r="C35" s="36" t="s">
        <v>92</v>
      </c>
      <c r="D35" s="17" t="s">
        <v>93</v>
      </c>
      <c r="E35" s="25">
        <v>7</v>
      </c>
      <c r="F35" s="19">
        <v>12000</v>
      </c>
      <c r="G35" s="19"/>
      <c r="H35" s="19">
        <f t="shared" si="6"/>
        <v>84000</v>
      </c>
      <c r="I35" s="19"/>
      <c r="J35" s="19">
        <f t="shared" si="7"/>
        <v>84000</v>
      </c>
    </row>
    <row r="36" spans="2:10" x14ac:dyDescent="0.2">
      <c r="B36" s="15" t="s">
        <v>134</v>
      </c>
      <c r="C36" s="59" t="s">
        <v>135</v>
      </c>
      <c r="D36" s="17" t="s">
        <v>17</v>
      </c>
      <c r="E36" s="25">
        <v>5</v>
      </c>
      <c r="F36" s="19">
        <v>8000</v>
      </c>
      <c r="G36" s="59"/>
      <c r="H36" s="19">
        <f t="shared" si="6"/>
        <v>40000</v>
      </c>
      <c r="I36" s="59"/>
      <c r="J36" s="19">
        <f t="shared" si="7"/>
        <v>40000</v>
      </c>
    </row>
    <row r="37" spans="2:10" x14ac:dyDescent="0.2">
      <c r="B37" s="69"/>
      <c r="C37" s="70"/>
      <c r="D37" s="71"/>
      <c r="E37" s="72"/>
      <c r="F37" s="47"/>
      <c r="G37" s="70"/>
      <c r="H37" s="47"/>
      <c r="I37" s="70"/>
      <c r="J37" s="47"/>
    </row>
    <row r="38" spans="2:10" ht="16.5" hidden="1" customHeight="1" x14ac:dyDescent="0.2">
      <c r="C38" s="38" t="s">
        <v>118</v>
      </c>
      <c r="D38" s="58">
        <f>I2</f>
        <v>12595615</v>
      </c>
    </row>
    <row r="39" spans="2:10" ht="15" hidden="1" customHeight="1" x14ac:dyDescent="0.2">
      <c r="C39" s="42" t="str">
        <f>G3</f>
        <v>Стоимость материалов</v>
      </c>
      <c r="D39" s="54">
        <f>I3</f>
        <v>7796615</v>
      </c>
    </row>
    <row r="40" spans="2:10" hidden="1" x14ac:dyDescent="0.2">
      <c r="C40" s="42" t="s">
        <v>112</v>
      </c>
      <c r="D40" s="54">
        <f>D44</f>
        <v>1895000</v>
      </c>
    </row>
    <row r="41" spans="2:10" ht="15" hidden="1" customHeight="1" x14ac:dyDescent="0.2">
      <c r="C41" s="44" t="s">
        <v>125</v>
      </c>
      <c r="D41" s="41">
        <f>I2-I3-D40</f>
        <v>2904000</v>
      </c>
    </row>
    <row r="42" spans="2:10" hidden="1" x14ac:dyDescent="0.2">
      <c r="C42" s="44" t="s">
        <v>126</v>
      </c>
      <c r="D42" s="53">
        <f>D41/D38</f>
        <v>0.23055642777268121</v>
      </c>
    </row>
    <row r="43" spans="2:10" ht="15" hidden="1" customHeight="1" x14ac:dyDescent="0.2"/>
    <row r="44" spans="2:10" hidden="1" x14ac:dyDescent="0.2">
      <c r="C44" s="51" t="s">
        <v>123</v>
      </c>
      <c r="D44" s="41">
        <f>SUM(D45:D50)</f>
        <v>1895000</v>
      </c>
    </row>
    <row r="45" spans="2:10" ht="15" hidden="1" customHeight="1" x14ac:dyDescent="0.2">
      <c r="C45" s="43" t="s">
        <v>115</v>
      </c>
      <c r="D45" s="54">
        <f>J8</f>
        <v>585000</v>
      </c>
    </row>
    <row r="46" spans="2:10" ht="15" hidden="1" customHeight="1" x14ac:dyDescent="0.2">
      <c r="C46" s="43" t="s">
        <v>127</v>
      </c>
      <c r="D46" s="54">
        <v>100000</v>
      </c>
    </row>
    <row r="47" spans="2:10" ht="15" hidden="1" customHeight="1" x14ac:dyDescent="0.2">
      <c r="C47" s="43" t="s">
        <v>130</v>
      </c>
      <c r="D47" s="54">
        <v>80000</v>
      </c>
    </row>
    <row r="48" spans="2:10" hidden="1" x14ac:dyDescent="0.2">
      <c r="C48" s="43" t="s">
        <v>116</v>
      </c>
      <c r="D48" s="54">
        <v>400000</v>
      </c>
    </row>
    <row r="49" spans="3:5" ht="15" hidden="1" customHeight="1" x14ac:dyDescent="0.2">
      <c r="C49" s="43" t="s">
        <v>103</v>
      </c>
      <c r="D49" s="54">
        <f>J32-50000</f>
        <v>480000</v>
      </c>
    </row>
    <row r="50" spans="3:5" ht="25.5" hidden="1" x14ac:dyDescent="0.2">
      <c r="C50" s="43" t="s">
        <v>113</v>
      </c>
      <c r="D50" s="54">
        <v>250000</v>
      </c>
    </row>
    <row r="51" spans="3:5" hidden="1" x14ac:dyDescent="0.2">
      <c r="C51" s="46"/>
      <c r="D51" s="47"/>
    </row>
    <row r="52" spans="3:5" ht="21" hidden="1" customHeight="1" x14ac:dyDescent="0.2">
      <c r="C52" s="52" t="s">
        <v>124</v>
      </c>
      <c r="D52" s="48">
        <f>SUM(D53:D55)/30</f>
        <v>4.5</v>
      </c>
      <c r="E52" s="45" t="s">
        <v>107</v>
      </c>
    </row>
    <row r="53" spans="3:5" ht="25.5" hidden="1" x14ac:dyDescent="0.2">
      <c r="C53" s="43" t="s">
        <v>128</v>
      </c>
      <c r="D53" s="49">
        <v>60</v>
      </c>
      <c r="E53" s="45" t="s">
        <v>106</v>
      </c>
    </row>
    <row r="54" spans="3:5" hidden="1" x14ac:dyDescent="0.2">
      <c r="C54" s="43" t="s">
        <v>104</v>
      </c>
      <c r="D54" s="49">
        <v>45</v>
      </c>
      <c r="E54" s="45" t="s">
        <v>106</v>
      </c>
    </row>
    <row r="55" spans="3:5" hidden="1" x14ac:dyDescent="0.2">
      <c r="C55" s="43" t="s">
        <v>105</v>
      </c>
      <c r="D55" s="49">
        <v>30</v>
      </c>
      <c r="E55" s="45" t="s">
        <v>106</v>
      </c>
    </row>
    <row r="56" spans="3:5" hidden="1" x14ac:dyDescent="0.2">
      <c r="C56" s="43" t="s">
        <v>122</v>
      </c>
      <c r="D56" s="50">
        <v>15</v>
      </c>
      <c r="E56" s="45" t="s">
        <v>106</v>
      </c>
    </row>
  </sheetData>
  <customSheetViews>
    <customSheetView guid="{882E0392-D269-42DD-BDF0-ED3FDF433F74}" scale="115" hiddenRows="1" hiddenColumns="1">
      <selection activeCell="B1" sqref="B1:J1"/>
      <pageMargins left="0.7" right="0.7" top="0.75" bottom="0.75" header="0.3" footer="0.3"/>
      <pageSetup paperSize="9" orientation="portrait" r:id="rId1"/>
    </customSheetView>
    <customSheetView guid="{35B78686-7F38-428F-B6DC-5FF68CC889ED}" scale="115" hiddenColumns="1" topLeftCell="A19">
      <selection activeCell="D10" sqref="D10"/>
      <pageMargins left="0.7" right="0.7" top="0.75" bottom="0.75" header="0.3" footer="0.3"/>
      <pageSetup paperSize="9" orientation="portrait" r:id="rId2"/>
    </customSheetView>
    <customSheetView guid="{D4709385-241B-4535-8AFF-06BD2C7DFD52}" scale="115" hiddenColumns="1">
      <selection activeCell="I41" sqref="I41"/>
      <pageMargins left="0.7" right="0.7" top="0.75" bottom="0.75" header="0.3" footer="0.3"/>
      <pageSetup paperSize="9" orientation="portrait" r:id="rId3"/>
    </customSheetView>
  </customSheetViews>
  <mergeCells count="10">
    <mergeCell ref="B1:J1"/>
    <mergeCell ref="G2:H2"/>
    <mergeCell ref="G3:H3"/>
    <mergeCell ref="G4:H4"/>
    <mergeCell ref="B5:B6"/>
    <mergeCell ref="C5:C6"/>
    <mergeCell ref="D5:D6"/>
    <mergeCell ref="E5:E6"/>
    <mergeCell ref="F5:G5"/>
    <mergeCell ref="H5:J5"/>
  </mergeCell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5"/>
  <sheetViews>
    <sheetView zoomScale="130" zoomScaleNormal="130" workbookViewId="0">
      <selection activeCell="H16" sqref="H16"/>
    </sheetView>
  </sheetViews>
  <sheetFormatPr defaultRowHeight="15" x14ac:dyDescent="0.25"/>
  <cols>
    <col min="1" max="1" width="4.85546875" customWidth="1"/>
    <col min="2" max="2" width="26.28515625" customWidth="1"/>
    <col min="3" max="5" width="8.42578125"/>
    <col min="6" max="6" width="10.140625" customWidth="1"/>
    <col min="7" max="7" width="11.85546875" customWidth="1"/>
    <col min="8" max="8" width="9.28515625" customWidth="1"/>
    <col min="9" max="9" width="9.42578125" customWidth="1"/>
    <col min="10" max="10" width="11.42578125" customWidth="1"/>
  </cols>
  <sheetData>
    <row r="2" spans="2:10" x14ac:dyDescent="0.25">
      <c r="B2" s="89" t="s">
        <v>54</v>
      </c>
      <c r="C2" s="90" t="s">
        <v>55</v>
      </c>
      <c r="D2" s="91"/>
      <c r="E2" s="92"/>
      <c r="F2" s="34" t="s">
        <v>56</v>
      </c>
      <c r="G2" s="28" t="s">
        <v>47</v>
      </c>
      <c r="H2" s="90" t="s">
        <v>56</v>
      </c>
      <c r="I2" s="91"/>
      <c r="J2" s="91"/>
    </row>
    <row r="3" spans="2:10" ht="51" x14ac:dyDescent="0.25">
      <c r="B3" s="89"/>
      <c r="C3" s="30" t="s">
        <v>65</v>
      </c>
      <c r="D3" s="30" t="s">
        <v>58</v>
      </c>
      <c r="E3" s="30" t="s">
        <v>59</v>
      </c>
      <c r="F3" s="30" t="s">
        <v>60</v>
      </c>
      <c r="G3" s="30"/>
      <c r="H3" s="31" t="s">
        <v>61</v>
      </c>
      <c r="I3" s="30" t="s">
        <v>62</v>
      </c>
      <c r="J3" s="30" t="s">
        <v>67</v>
      </c>
    </row>
    <row r="4" spans="2:10" ht="15" customHeight="1" x14ac:dyDescent="0.25">
      <c r="B4" s="89"/>
      <c r="C4" s="29"/>
      <c r="D4" s="29"/>
      <c r="E4" s="29"/>
      <c r="F4" s="29"/>
      <c r="G4" s="93" t="s">
        <v>66</v>
      </c>
      <c r="H4" s="93"/>
      <c r="I4" s="93"/>
      <c r="J4" s="93"/>
    </row>
    <row r="5" spans="2:10" x14ac:dyDescent="0.25">
      <c r="B5" s="89"/>
      <c r="C5" s="29"/>
      <c r="D5" s="29"/>
      <c r="E5" s="29"/>
      <c r="F5" s="30"/>
      <c r="G5" s="30"/>
      <c r="H5" s="30">
        <v>150</v>
      </c>
      <c r="I5" s="30">
        <v>150</v>
      </c>
      <c r="J5" s="30">
        <v>21</v>
      </c>
    </row>
    <row r="6" spans="2:10" x14ac:dyDescent="0.25">
      <c r="B6" s="32" t="s">
        <v>64</v>
      </c>
      <c r="C6" s="33">
        <v>155</v>
      </c>
      <c r="D6" s="33">
        <v>0.5</v>
      </c>
      <c r="E6" s="33">
        <v>0.7</v>
      </c>
      <c r="F6" s="33">
        <f>1.2*C6*D6*E6</f>
        <v>65.099999999999994</v>
      </c>
      <c r="G6" s="33">
        <f>F6-J6</f>
        <v>27.900000000000006</v>
      </c>
      <c r="H6" s="33">
        <f>1.2*C6*D6*H5/1000</f>
        <v>13.95</v>
      </c>
      <c r="I6" s="33">
        <f>1.2*C6*D6*I5/1000</f>
        <v>13.95</v>
      </c>
      <c r="J6" s="33">
        <f>F6-H6-I6</f>
        <v>37.199999999999989</v>
      </c>
    </row>
    <row r="7" spans="2:10" x14ac:dyDescent="0.25">
      <c r="B7" s="32" t="s">
        <v>141</v>
      </c>
      <c r="C7" s="33">
        <v>780</v>
      </c>
      <c r="D7" s="33">
        <v>0.5</v>
      </c>
      <c r="E7" s="33">
        <v>0.7</v>
      </c>
      <c r="F7" s="33">
        <f>1.2*C7*D7*E7</f>
        <v>327.59999999999997</v>
      </c>
      <c r="G7" s="33">
        <f>F7-J7</f>
        <v>140.39999999999998</v>
      </c>
      <c r="H7" s="33">
        <f>1.2*C7*D7*H5/1000</f>
        <v>70.2</v>
      </c>
      <c r="I7" s="33">
        <f>1.2*C7*D7*I5/1000</f>
        <v>70.2</v>
      </c>
      <c r="J7" s="33">
        <f>F7-H7-I7</f>
        <v>187.2</v>
      </c>
    </row>
    <row r="9" spans="2:10" x14ac:dyDescent="0.25">
      <c r="G9" s="37"/>
    </row>
    <row r="10" spans="2:10" ht="20.25" customHeight="1" x14ac:dyDescent="0.25">
      <c r="C10" s="30" t="s">
        <v>57</v>
      </c>
    </row>
    <row r="11" spans="2:10" x14ac:dyDescent="0.25">
      <c r="B11" s="32" t="s">
        <v>68</v>
      </c>
      <c r="C11" s="35"/>
    </row>
    <row r="12" spans="2:10" x14ac:dyDescent="0.25">
      <c r="B12" s="32" t="str">
        <f>B6</f>
        <v>Кабель АПВПуг 1х400мм2</v>
      </c>
      <c r="C12" s="33">
        <f>1.05*1.05*C6*3</f>
        <v>512.66250000000002</v>
      </c>
      <c r="D12">
        <v>520</v>
      </c>
    </row>
    <row r="13" spans="2:10" x14ac:dyDescent="0.25">
      <c r="B13" s="32" t="s">
        <v>141</v>
      </c>
      <c r="C13" s="33">
        <f>1.05*1.05*C7</f>
        <v>859.95</v>
      </c>
      <c r="D13">
        <v>860</v>
      </c>
    </row>
    <row r="14" spans="2:10" x14ac:dyDescent="0.25">
      <c r="B14" s="32" t="s">
        <v>39</v>
      </c>
      <c r="C14" s="33">
        <f>H6+I6+H7+I7</f>
        <v>168.3</v>
      </c>
      <c r="D14">
        <v>170</v>
      </c>
    </row>
    <row r="15" spans="2:10" x14ac:dyDescent="0.25">
      <c r="B15" s="60" t="s">
        <v>137</v>
      </c>
      <c r="C15">
        <f>(C6+C7)/0.48</f>
        <v>1947.9166666666667</v>
      </c>
      <c r="D15">
        <v>2000</v>
      </c>
    </row>
  </sheetData>
  <customSheetViews>
    <customSheetView guid="{882E0392-D269-42DD-BDF0-ED3FDF433F74}" scale="130" state="hidden">
      <selection activeCell="H16" sqref="H16"/>
      <pageMargins left="0.7" right="0.7" top="0.75" bottom="0.75" header="0.3" footer="0.3"/>
    </customSheetView>
    <customSheetView guid="{35B78686-7F38-428F-B6DC-5FF68CC889ED}" scale="130" state="hidden">
      <selection activeCell="H16" sqref="H16"/>
      <pageMargins left="0.7" right="0.7" top="0.75" bottom="0.75" header="0.3" footer="0.3"/>
    </customSheetView>
    <customSheetView guid="{D4709385-241B-4535-8AFF-06BD2C7DFD52}" scale="130" state="hidden">
      <selection activeCell="H16" sqref="H16"/>
      <pageMargins left="0.7" right="0.7" top="0.75" bottom="0.75" header="0.3" footer="0.3"/>
    </customSheetView>
  </customSheetViews>
  <mergeCells count="4">
    <mergeCell ref="B2:B5"/>
    <mergeCell ref="C2:E2"/>
    <mergeCell ref="H2:J2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 арх</vt:lpstr>
      <vt:lpstr>БЮДЖЕТ</vt:lpstr>
      <vt:lpstr>ТРАНШЕЯ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ПК-4</dc:creator>
  <cp:lastModifiedBy>79266</cp:lastModifiedBy>
  <cp:lastPrinted>2019-10-04T08:08:34Z</cp:lastPrinted>
  <dcterms:created xsi:type="dcterms:W3CDTF">2019-08-19T06:39:24Z</dcterms:created>
  <dcterms:modified xsi:type="dcterms:W3CDTF">2021-04-08T11:13:16Z</dcterms:modified>
</cp:coreProperties>
</file>