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Объекты\Потенциальные\20. 15.09.2020 МИЭиА\"/>
    </mc:Choice>
  </mc:AlternateContent>
  <xr:revisionPtr revIDLastSave="0" documentId="8_{885D5894-7F9A-4696-AEF7-1796BD47AAD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мета по ТСН-2001" sheetId="5" r:id="rId1"/>
    <sheet name="Source" sheetId="1" r:id="rId2"/>
    <sheet name="SourceObSm" sheetId="2" r:id="rId3"/>
    <sheet name="SmtRes" sheetId="3" r:id="rId4"/>
    <sheet name="EtalonRes" sheetId="4" r:id="rId5"/>
  </sheets>
  <definedNames>
    <definedName name="_xlnm.Print_Titles" localSheetId="0">'Смета по ТСН-2001'!$34:$34</definedName>
    <definedName name="_xlnm.Print_Area" localSheetId="0">'Смета по ТСН-2001'!$A$1:$K$244</definedName>
  </definedNames>
  <calcPr calcId="191029"/>
</workbook>
</file>

<file path=xl/calcChain.xml><?xml version="1.0" encoding="utf-8"?>
<calcChain xmlns="http://schemas.openxmlformats.org/spreadsheetml/2006/main">
  <c r="H242" i="5" l="1"/>
  <c r="H239" i="5"/>
  <c r="C242" i="5"/>
  <c r="C239" i="5"/>
  <c r="C236" i="5"/>
  <c r="C235" i="5"/>
  <c r="C234" i="5"/>
  <c r="C233" i="5"/>
  <c r="C232" i="5"/>
  <c r="J29" i="5"/>
  <c r="I29" i="5"/>
  <c r="I231" i="5"/>
  <c r="J231" i="5"/>
  <c r="I230" i="5"/>
  <c r="J230" i="5"/>
  <c r="I227" i="5"/>
  <c r="J227" i="5"/>
  <c r="I226" i="5"/>
  <c r="J226" i="5"/>
  <c r="I223" i="5"/>
  <c r="J223" i="5"/>
  <c r="I222" i="5"/>
  <c r="J222" i="5"/>
  <c r="Z218" i="5"/>
  <c r="Y218" i="5"/>
  <c r="X218" i="5"/>
  <c r="H217" i="5"/>
  <c r="G217" i="5"/>
  <c r="E217" i="5"/>
  <c r="J216" i="5"/>
  <c r="E216" i="5"/>
  <c r="J215" i="5"/>
  <c r="E215" i="5"/>
  <c r="J214" i="5"/>
  <c r="H214" i="5"/>
  <c r="G214" i="5"/>
  <c r="F214" i="5"/>
  <c r="E213" i="5"/>
  <c r="D213" i="5"/>
  <c r="B213" i="5"/>
  <c r="A213" i="5"/>
  <c r="Z211" i="5"/>
  <c r="Y211" i="5"/>
  <c r="X211" i="5"/>
  <c r="H210" i="5"/>
  <c r="G210" i="5"/>
  <c r="E210" i="5"/>
  <c r="J209" i="5"/>
  <c r="E209" i="5"/>
  <c r="J208" i="5"/>
  <c r="E208" i="5"/>
  <c r="J207" i="5"/>
  <c r="H207" i="5"/>
  <c r="G207" i="5"/>
  <c r="F207" i="5"/>
  <c r="E206" i="5"/>
  <c r="D206" i="5"/>
  <c r="B206" i="5"/>
  <c r="A206" i="5"/>
  <c r="Z204" i="5"/>
  <c r="Y204" i="5"/>
  <c r="X204" i="5"/>
  <c r="H203" i="5"/>
  <c r="G203" i="5"/>
  <c r="E203" i="5"/>
  <c r="J202" i="5"/>
  <c r="E202" i="5"/>
  <c r="J201" i="5"/>
  <c r="E201" i="5"/>
  <c r="J200" i="5"/>
  <c r="H200" i="5"/>
  <c r="G200" i="5"/>
  <c r="F200" i="5"/>
  <c r="E199" i="5"/>
  <c r="D199" i="5"/>
  <c r="B199" i="5"/>
  <c r="A199" i="5"/>
  <c r="Z197" i="5"/>
  <c r="Y197" i="5"/>
  <c r="X197" i="5"/>
  <c r="H196" i="5"/>
  <c r="G196" i="5"/>
  <c r="E196" i="5"/>
  <c r="J195" i="5"/>
  <c r="E195" i="5"/>
  <c r="J194" i="5"/>
  <c r="E194" i="5"/>
  <c r="J193" i="5"/>
  <c r="H193" i="5"/>
  <c r="G193" i="5"/>
  <c r="F193" i="5"/>
  <c r="E192" i="5"/>
  <c r="D192" i="5"/>
  <c r="B192" i="5"/>
  <c r="A192" i="5"/>
  <c r="Z190" i="5"/>
  <c r="Y190" i="5"/>
  <c r="X190" i="5"/>
  <c r="H189" i="5"/>
  <c r="G189" i="5"/>
  <c r="E189" i="5"/>
  <c r="J188" i="5"/>
  <c r="E188" i="5"/>
  <c r="J187" i="5"/>
  <c r="E187" i="5"/>
  <c r="J186" i="5"/>
  <c r="H186" i="5"/>
  <c r="G186" i="5"/>
  <c r="F186" i="5"/>
  <c r="E185" i="5"/>
  <c r="D185" i="5"/>
  <c r="B185" i="5"/>
  <c r="A185" i="5"/>
  <c r="Z183" i="5"/>
  <c r="Y183" i="5"/>
  <c r="X183" i="5"/>
  <c r="H182" i="5"/>
  <c r="G182" i="5"/>
  <c r="E182" i="5"/>
  <c r="J181" i="5"/>
  <c r="E181" i="5"/>
  <c r="J180" i="5"/>
  <c r="E180" i="5"/>
  <c r="J179" i="5"/>
  <c r="H179" i="5"/>
  <c r="G179" i="5"/>
  <c r="F179" i="5"/>
  <c r="E178" i="5"/>
  <c r="D178" i="5"/>
  <c r="B178" i="5"/>
  <c r="A178" i="5"/>
  <c r="Z176" i="5"/>
  <c r="Y176" i="5"/>
  <c r="X176" i="5"/>
  <c r="H175" i="5"/>
  <c r="G175" i="5"/>
  <c r="E175" i="5"/>
  <c r="J174" i="5"/>
  <c r="E174" i="5"/>
  <c r="J173" i="5"/>
  <c r="E173" i="5"/>
  <c r="J172" i="5"/>
  <c r="H172" i="5"/>
  <c r="G172" i="5"/>
  <c r="F172" i="5"/>
  <c r="E171" i="5"/>
  <c r="D171" i="5"/>
  <c r="B171" i="5"/>
  <c r="A171" i="5"/>
  <c r="Z169" i="5"/>
  <c r="Y169" i="5"/>
  <c r="X169" i="5"/>
  <c r="H168" i="5"/>
  <c r="G168" i="5"/>
  <c r="E168" i="5"/>
  <c r="J167" i="5"/>
  <c r="E167" i="5"/>
  <c r="J166" i="5"/>
  <c r="E166" i="5"/>
  <c r="J165" i="5"/>
  <c r="H165" i="5"/>
  <c r="G165" i="5"/>
  <c r="F165" i="5"/>
  <c r="E164" i="5"/>
  <c r="D164" i="5"/>
  <c r="B164" i="5"/>
  <c r="A164" i="5"/>
  <c r="A163" i="5"/>
  <c r="I161" i="5"/>
  <c r="J161" i="5"/>
  <c r="I160" i="5"/>
  <c r="J160" i="5"/>
  <c r="AA156" i="5"/>
  <c r="Z156" i="5"/>
  <c r="X156" i="5"/>
  <c r="J155" i="5"/>
  <c r="H155" i="5"/>
  <c r="G155" i="5"/>
  <c r="F155" i="5"/>
  <c r="E155" i="5"/>
  <c r="D155" i="5"/>
  <c r="B155" i="5"/>
  <c r="A155" i="5"/>
  <c r="AA153" i="5"/>
  <c r="Z153" i="5"/>
  <c r="X153" i="5"/>
  <c r="H152" i="5"/>
  <c r="G152" i="5"/>
  <c r="E152" i="5"/>
  <c r="J151" i="5"/>
  <c r="E151" i="5"/>
  <c r="J150" i="5"/>
  <c r="E150" i="5"/>
  <c r="J149" i="5"/>
  <c r="H149" i="5"/>
  <c r="G149" i="5"/>
  <c r="F149" i="5"/>
  <c r="J148" i="5"/>
  <c r="H148" i="5"/>
  <c r="G148" i="5"/>
  <c r="F148" i="5"/>
  <c r="D146" i="5"/>
  <c r="B146" i="5"/>
  <c r="A146" i="5"/>
  <c r="AA144" i="5"/>
  <c r="Z144" i="5"/>
  <c r="Y144" i="5"/>
  <c r="J143" i="5"/>
  <c r="H143" i="5"/>
  <c r="G143" i="5"/>
  <c r="F143" i="5"/>
  <c r="E143" i="5"/>
  <c r="D143" i="5"/>
  <c r="B143" i="5"/>
  <c r="A143" i="5"/>
  <c r="AA141" i="5"/>
  <c r="Z141" i="5"/>
  <c r="X141" i="5"/>
  <c r="H140" i="5"/>
  <c r="G140" i="5"/>
  <c r="E140" i="5"/>
  <c r="J139" i="5"/>
  <c r="E139" i="5"/>
  <c r="J138" i="5"/>
  <c r="E138" i="5"/>
  <c r="J137" i="5"/>
  <c r="E137" i="5"/>
  <c r="J136" i="5"/>
  <c r="H136" i="5"/>
  <c r="G136" i="5"/>
  <c r="F136" i="5"/>
  <c r="J135" i="5"/>
  <c r="H135" i="5"/>
  <c r="G135" i="5"/>
  <c r="F135" i="5"/>
  <c r="J134" i="5"/>
  <c r="H134" i="5"/>
  <c r="G134" i="5"/>
  <c r="F134" i="5"/>
  <c r="J133" i="5"/>
  <c r="H133" i="5"/>
  <c r="G133" i="5"/>
  <c r="F133" i="5"/>
  <c r="D131" i="5"/>
  <c r="B131" i="5"/>
  <c r="A131" i="5"/>
  <c r="AA129" i="5"/>
  <c r="Y129" i="5"/>
  <c r="X129" i="5"/>
  <c r="J128" i="5"/>
  <c r="H128" i="5"/>
  <c r="G128" i="5"/>
  <c r="F128" i="5"/>
  <c r="E128" i="5"/>
  <c r="D128" i="5"/>
  <c r="B128" i="5"/>
  <c r="A128" i="5"/>
  <c r="AA126" i="5"/>
  <c r="Z126" i="5"/>
  <c r="X126" i="5"/>
  <c r="H125" i="5"/>
  <c r="G125" i="5"/>
  <c r="E125" i="5"/>
  <c r="J124" i="5"/>
  <c r="E124" i="5"/>
  <c r="J123" i="5"/>
  <c r="E123" i="5"/>
  <c r="J122" i="5"/>
  <c r="E122" i="5"/>
  <c r="J121" i="5"/>
  <c r="H121" i="5"/>
  <c r="G121" i="5"/>
  <c r="F121" i="5"/>
  <c r="J120" i="5"/>
  <c r="H120" i="5"/>
  <c r="G120" i="5"/>
  <c r="F120" i="5"/>
  <c r="J119" i="5"/>
  <c r="H119" i="5"/>
  <c r="G119" i="5"/>
  <c r="F119" i="5"/>
  <c r="J118" i="5"/>
  <c r="H118" i="5"/>
  <c r="G118" i="5"/>
  <c r="F118" i="5"/>
  <c r="E117" i="5"/>
  <c r="D117" i="5"/>
  <c r="B117" i="5"/>
  <c r="A117" i="5"/>
  <c r="B116" i="5"/>
  <c r="A114" i="5"/>
  <c r="I112" i="5"/>
  <c r="J112" i="5"/>
  <c r="I111" i="5"/>
  <c r="J111" i="5"/>
  <c r="AA107" i="5"/>
  <c r="Z107" i="5"/>
  <c r="Y107" i="5"/>
  <c r="J106" i="5"/>
  <c r="H106" i="5"/>
  <c r="G106" i="5"/>
  <c r="F106" i="5"/>
  <c r="D106" i="5"/>
  <c r="B106" i="5"/>
  <c r="A106" i="5"/>
  <c r="AA104" i="5"/>
  <c r="Z104" i="5"/>
  <c r="X104" i="5"/>
  <c r="H103" i="5"/>
  <c r="G103" i="5"/>
  <c r="E103" i="5"/>
  <c r="J102" i="5"/>
  <c r="E102" i="5"/>
  <c r="J101" i="5"/>
  <c r="E101" i="5"/>
  <c r="J100" i="5"/>
  <c r="E100" i="5"/>
  <c r="J99" i="5"/>
  <c r="H99" i="5"/>
  <c r="G99" i="5"/>
  <c r="F99" i="5"/>
  <c r="J98" i="5"/>
  <c r="H98" i="5"/>
  <c r="G98" i="5"/>
  <c r="F98" i="5"/>
  <c r="J97" i="5"/>
  <c r="H97" i="5"/>
  <c r="G97" i="5"/>
  <c r="F97" i="5"/>
  <c r="D95" i="5"/>
  <c r="B95" i="5"/>
  <c r="A95" i="5"/>
  <c r="AA93" i="5"/>
  <c r="Z93" i="5"/>
  <c r="X93" i="5"/>
  <c r="H92" i="5"/>
  <c r="G92" i="5"/>
  <c r="E92" i="5"/>
  <c r="J91" i="5"/>
  <c r="E91" i="5"/>
  <c r="J90" i="5"/>
  <c r="E90" i="5"/>
  <c r="J89" i="5"/>
  <c r="E89" i="5"/>
  <c r="J88" i="5"/>
  <c r="H88" i="5"/>
  <c r="G88" i="5"/>
  <c r="F88" i="5"/>
  <c r="J87" i="5"/>
  <c r="H87" i="5"/>
  <c r="G87" i="5"/>
  <c r="F87" i="5"/>
  <c r="J86" i="5"/>
  <c r="H86" i="5"/>
  <c r="G86" i="5"/>
  <c r="F86" i="5"/>
  <c r="J85" i="5"/>
  <c r="H85" i="5"/>
  <c r="G85" i="5"/>
  <c r="F85" i="5"/>
  <c r="E84" i="5"/>
  <c r="D84" i="5"/>
  <c r="B84" i="5"/>
  <c r="A84" i="5"/>
  <c r="A83" i="5"/>
  <c r="I81" i="5"/>
  <c r="J81" i="5"/>
  <c r="I80" i="5"/>
  <c r="J80" i="5"/>
  <c r="Z76" i="5"/>
  <c r="Y76" i="5"/>
  <c r="X76" i="5"/>
  <c r="J75" i="5"/>
  <c r="H75" i="5"/>
  <c r="G75" i="5"/>
  <c r="F75" i="5"/>
  <c r="D74" i="5"/>
  <c r="B74" i="5"/>
  <c r="A74" i="5"/>
  <c r="Z72" i="5"/>
  <c r="Y72" i="5"/>
  <c r="X72" i="5"/>
  <c r="J71" i="5"/>
  <c r="H71" i="5"/>
  <c r="G71" i="5"/>
  <c r="F71" i="5"/>
  <c r="D70" i="5"/>
  <c r="B70" i="5"/>
  <c r="A70" i="5"/>
  <c r="AA68" i="5"/>
  <c r="Z68" i="5"/>
  <c r="Y68" i="5"/>
  <c r="J67" i="5"/>
  <c r="E67" i="5"/>
  <c r="J66" i="5"/>
  <c r="H66" i="5"/>
  <c r="G66" i="5"/>
  <c r="F66" i="5"/>
  <c r="J65" i="5"/>
  <c r="H65" i="5"/>
  <c r="G65" i="5"/>
  <c r="F65" i="5"/>
  <c r="D63" i="5"/>
  <c r="B63" i="5"/>
  <c r="A63" i="5"/>
  <c r="AA61" i="5"/>
  <c r="Z61" i="5"/>
  <c r="Y61" i="5"/>
  <c r="H60" i="5"/>
  <c r="G60" i="5"/>
  <c r="E60" i="5"/>
  <c r="J59" i="5"/>
  <c r="E59" i="5"/>
  <c r="J58" i="5"/>
  <c r="E58" i="5"/>
  <c r="J57" i="5"/>
  <c r="E57" i="5"/>
  <c r="J56" i="5"/>
  <c r="H56" i="5"/>
  <c r="AA56" i="5"/>
  <c r="Z56" i="5"/>
  <c r="Y56" i="5"/>
  <c r="F56" i="5"/>
  <c r="D56" i="5"/>
  <c r="B56" i="5"/>
  <c r="A56" i="5"/>
  <c r="J55" i="5"/>
  <c r="H55" i="5"/>
  <c r="G55" i="5"/>
  <c r="F55" i="5"/>
  <c r="J54" i="5"/>
  <c r="H54" i="5"/>
  <c r="G54" i="5"/>
  <c r="F54" i="5"/>
  <c r="J53" i="5"/>
  <c r="H53" i="5"/>
  <c r="G53" i="5"/>
  <c r="F53" i="5"/>
  <c r="J52" i="5"/>
  <c r="H52" i="5"/>
  <c r="G52" i="5"/>
  <c r="F52" i="5"/>
  <c r="E51" i="5"/>
  <c r="D51" i="5"/>
  <c r="B51" i="5"/>
  <c r="A51" i="5"/>
  <c r="AA49" i="5"/>
  <c r="Z49" i="5"/>
  <c r="Y49" i="5"/>
  <c r="H48" i="5"/>
  <c r="G48" i="5"/>
  <c r="E48" i="5"/>
  <c r="J47" i="5"/>
  <c r="E47" i="5"/>
  <c r="J46" i="5"/>
  <c r="E46" i="5"/>
  <c r="J45" i="5"/>
  <c r="E45" i="5"/>
  <c r="J44" i="5"/>
  <c r="H44" i="5"/>
  <c r="G44" i="5"/>
  <c r="F44" i="5"/>
  <c r="J43" i="5"/>
  <c r="H43" i="5"/>
  <c r="G43" i="5"/>
  <c r="F43" i="5"/>
  <c r="J42" i="5"/>
  <c r="H42" i="5"/>
  <c r="G42" i="5"/>
  <c r="F42" i="5"/>
  <c r="E41" i="5"/>
  <c r="D41" i="5"/>
  <c r="B41" i="5"/>
  <c r="A41" i="5"/>
  <c r="B40" i="5"/>
  <c r="A38" i="5"/>
  <c r="A36" i="5"/>
  <c r="A18" i="5"/>
  <c r="A13" i="5"/>
  <c r="A10" i="5"/>
  <c r="G6" i="5"/>
  <c r="B6" i="5"/>
  <c r="A1" i="5"/>
  <c r="A1" i="4" l="1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1" i="3"/>
  <c r="CX1" i="3"/>
  <c r="CY1" i="3"/>
  <c r="CZ1" i="3"/>
  <c r="DA1" i="3"/>
  <c r="DB1" i="3"/>
  <c r="DC1" i="3"/>
  <c r="A2" i="3"/>
  <c r="CX2" i="3"/>
  <c r="CY2" i="3"/>
  <c r="CZ2" i="3"/>
  <c r="DA2" i="3"/>
  <c r="DB2" i="3"/>
  <c r="DC2" i="3"/>
  <c r="A3" i="3"/>
  <c r="CX3" i="3"/>
  <c r="CY3" i="3"/>
  <c r="CZ3" i="3"/>
  <c r="DB3" i="3" s="1"/>
  <c r="DA3" i="3"/>
  <c r="DC3" i="3"/>
  <c r="A4" i="3"/>
  <c r="CX4" i="3"/>
  <c r="CY4" i="3"/>
  <c r="CZ4" i="3"/>
  <c r="DA4" i="3"/>
  <c r="DB4" i="3"/>
  <c r="DC4" i="3"/>
  <c r="A5" i="3"/>
  <c r="CX5" i="3"/>
  <c r="CY5" i="3"/>
  <c r="CZ5" i="3"/>
  <c r="DB5" i="3" s="1"/>
  <c r="DA5" i="3"/>
  <c r="DC5" i="3"/>
  <c r="A6" i="3"/>
  <c r="CX6" i="3"/>
  <c r="CY6" i="3"/>
  <c r="CZ6" i="3"/>
  <c r="DB6" i="3" s="1"/>
  <c r="DA6" i="3"/>
  <c r="DC6" i="3"/>
  <c r="A7" i="3"/>
  <c r="CX7" i="3"/>
  <c r="CY7" i="3"/>
  <c r="CZ7" i="3"/>
  <c r="DB7" i="3" s="1"/>
  <c r="DA7" i="3"/>
  <c r="DC7" i="3"/>
  <c r="A8" i="3"/>
  <c r="CX8" i="3"/>
  <c r="CY8" i="3"/>
  <c r="CZ8" i="3"/>
  <c r="DB8" i="3" s="1"/>
  <c r="DA8" i="3"/>
  <c r="DC8" i="3"/>
  <c r="A9" i="3"/>
  <c r="CX9" i="3"/>
  <c r="CY9" i="3"/>
  <c r="CZ9" i="3"/>
  <c r="DA9" i="3"/>
  <c r="DB9" i="3"/>
  <c r="DC9" i="3"/>
  <c r="A10" i="3"/>
  <c r="CX10" i="3"/>
  <c r="CY10" i="3"/>
  <c r="CZ10" i="3"/>
  <c r="DB10" i="3" s="1"/>
  <c r="DA10" i="3"/>
  <c r="DC10" i="3"/>
  <c r="A11" i="3"/>
  <c r="CX11" i="3"/>
  <c r="CY11" i="3"/>
  <c r="CZ11" i="3"/>
  <c r="DB11" i="3" s="1"/>
  <c r="DA11" i="3"/>
  <c r="DC11" i="3"/>
  <c r="A12" i="3"/>
  <c r="CY12" i="3"/>
  <c r="CZ12" i="3"/>
  <c r="DB12" i="3" s="1"/>
  <c r="DA12" i="3"/>
  <c r="DC12" i="3"/>
  <c r="A13" i="3"/>
  <c r="CY13" i="3"/>
  <c r="CZ13" i="3"/>
  <c r="DB13" i="3" s="1"/>
  <c r="DA13" i="3"/>
  <c r="DC13" i="3"/>
  <c r="A14" i="3"/>
  <c r="CY14" i="3"/>
  <c r="CZ14" i="3"/>
  <c r="DA14" i="3"/>
  <c r="DB14" i="3"/>
  <c r="DC14" i="3"/>
  <c r="A15" i="3"/>
  <c r="CX15" i="3"/>
  <c r="CY15" i="3"/>
  <c r="CZ15" i="3"/>
  <c r="DA15" i="3"/>
  <c r="DB15" i="3"/>
  <c r="DC15" i="3"/>
  <c r="A16" i="3"/>
  <c r="CY16" i="3"/>
  <c r="CZ16" i="3"/>
  <c r="DB16" i="3" s="1"/>
  <c r="DA16" i="3"/>
  <c r="DC16" i="3"/>
  <c r="A17" i="3"/>
  <c r="CX17" i="3"/>
  <c r="CY17" i="3"/>
  <c r="CZ17" i="3"/>
  <c r="DA17" i="3"/>
  <c r="DB17" i="3"/>
  <c r="DC17" i="3"/>
  <c r="A18" i="3"/>
  <c r="CY18" i="3"/>
  <c r="CZ18" i="3"/>
  <c r="DB18" i="3" s="1"/>
  <c r="DA18" i="3"/>
  <c r="DC18" i="3"/>
  <c r="A19" i="3"/>
  <c r="CY19" i="3"/>
  <c r="CZ19" i="3"/>
  <c r="DB19" i="3" s="1"/>
  <c r="DA19" i="3"/>
  <c r="DC19" i="3"/>
  <c r="A20" i="3"/>
  <c r="CX20" i="3"/>
  <c r="CY20" i="3"/>
  <c r="CZ20" i="3"/>
  <c r="DB20" i="3" s="1"/>
  <c r="DA20" i="3"/>
  <c r="DC20" i="3"/>
  <c r="A21" i="3"/>
  <c r="CX21" i="3"/>
  <c r="CY21" i="3"/>
  <c r="CZ21" i="3"/>
  <c r="DB21" i="3" s="1"/>
  <c r="DA21" i="3"/>
  <c r="DC21" i="3"/>
  <c r="A22" i="3"/>
  <c r="CX22" i="3"/>
  <c r="CY22" i="3"/>
  <c r="CZ22" i="3"/>
  <c r="DA22" i="3"/>
  <c r="DB22" i="3"/>
  <c r="DC22" i="3"/>
  <c r="A23" i="3"/>
  <c r="CX23" i="3"/>
  <c r="CY23" i="3"/>
  <c r="CZ23" i="3"/>
  <c r="DB23" i="3" s="1"/>
  <c r="DA23" i="3"/>
  <c r="DC23" i="3"/>
  <c r="A24" i="3"/>
  <c r="CX24" i="3"/>
  <c r="CY24" i="3"/>
  <c r="CZ24" i="3"/>
  <c r="DB24" i="3" s="1"/>
  <c r="DA24" i="3"/>
  <c r="DC24" i="3"/>
  <c r="A25" i="3"/>
  <c r="CX25" i="3"/>
  <c r="CY25" i="3"/>
  <c r="CZ25" i="3"/>
  <c r="DA25" i="3"/>
  <c r="DB25" i="3"/>
  <c r="DC25" i="3"/>
  <c r="A26" i="3"/>
  <c r="CX26" i="3"/>
  <c r="CY26" i="3"/>
  <c r="CZ26" i="3"/>
  <c r="DB26" i="3" s="1"/>
  <c r="DA26" i="3"/>
  <c r="DC26" i="3"/>
  <c r="A27" i="3"/>
  <c r="CX27" i="3"/>
  <c r="CY27" i="3"/>
  <c r="CZ27" i="3"/>
  <c r="DB27" i="3" s="1"/>
  <c r="DA27" i="3"/>
  <c r="DC27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D24" i="1"/>
  <c r="E26" i="1"/>
  <c r="Z26" i="1"/>
  <c r="AA26" i="1"/>
  <c r="AM26" i="1"/>
  <c r="AN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C29" i="1"/>
  <c r="D29" i="1"/>
  <c r="AC29" i="1"/>
  <c r="CQ29" i="1" s="1"/>
  <c r="P29" i="1" s="1"/>
  <c r="AD29" i="1"/>
  <c r="I43" i="5" s="1"/>
  <c r="AE29" i="1"/>
  <c r="AF29" i="1"/>
  <c r="AG29" i="1"/>
  <c r="CU29" i="1" s="1"/>
  <c r="T29" i="1" s="1"/>
  <c r="AH29" i="1"/>
  <c r="CV29" i="1" s="1"/>
  <c r="U29" i="1" s="1"/>
  <c r="I48" i="5" s="1"/>
  <c r="AB48" i="5" s="1"/>
  <c r="AI29" i="1"/>
  <c r="AJ29" i="1"/>
  <c r="CX29" i="1" s="1"/>
  <c r="W29" i="1" s="1"/>
  <c r="CR29" i="1"/>
  <c r="Q29" i="1" s="1"/>
  <c r="K43" i="5" s="1"/>
  <c r="CW29" i="1"/>
  <c r="V29" i="1" s="1"/>
  <c r="FR29" i="1"/>
  <c r="GL29" i="1"/>
  <c r="GO29" i="1"/>
  <c r="GP29" i="1"/>
  <c r="GV29" i="1"/>
  <c r="HC29" i="1" s="1"/>
  <c r="GX29" i="1" s="1"/>
  <c r="C30" i="1"/>
  <c r="D30" i="1"/>
  <c r="AC30" i="1"/>
  <c r="AB30" i="1" s="1"/>
  <c r="AD30" i="1"/>
  <c r="I53" i="5" s="1"/>
  <c r="AE30" i="1"/>
  <c r="AF30" i="1"/>
  <c r="AG30" i="1"/>
  <c r="CU30" i="1" s="1"/>
  <c r="T30" i="1" s="1"/>
  <c r="AH30" i="1"/>
  <c r="CV30" i="1" s="1"/>
  <c r="U30" i="1" s="1"/>
  <c r="I60" i="5" s="1"/>
  <c r="AB60" i="5" s="1"/>
  <c r="AI30" i="1"/>
  <c r="AJ30" i="1"/>
  <c r="CX30" i="1" s="1"/>
  <c r="W30" i="1" s="1"/>
  <c r="CR30" i="1"/>
  <c r="Q30" i="1" s="1"/>
  <c r="K53" i="5" s="1"/>
  <c r="CT30" i="1"/>
  <c r="S30" i="1" s="1"/>
  <c r="CZ30" i="1" s="1"/>
  <c r="Y30" i="1" s="1"/>
  <c r="T51" i="5" s="1"/>
  <c r="CW30" i="1"/>
  <c r="V30" i="1" s="1"/>
  <c r="FR30" i="1"/>
  <c r="GL30" i="1"/>
  <c r="GO30" i="1"/>
  <c r="GP30" i="1"/>
  <c r="GV30" i="1"/>
  <c r="HC30" i="1" s="1"/>
  <c r="GX30" i="1" s="1"/>
  <c r="I31" i="1"/>
  <c r="E56" i="5" s="1"/>
  <c r="AC31" i="1"/>
  <c r="AD31" i="1"/>
  <c r="AE31" i="1"/>
  <c r="AF31" i="1"/>
  <c r="AG31" i="1"/>
  <c r="CU31" i="1" s="1"/>
  <c r="T31" i="1" s="1"/>
  <c r="AH31" i="1"/>
  <c r="CV31" i="1" s="1"/>
  <c r="AI31" i="1"/>
  <c r="CW31" i="1" s="1"/>
  <c r="V31" i="1" s="1"/>
  <c r="AJ31" i="1"/>
  <c r="CX31" i="1" s="1"/>
  <c r="W31" i="1" s="1"/>
  <c r="CR31" i="1"/>
  <c r="Q31" i="1" s="1"/>
  <c r="FR31" i="1"/>
  <c r="GL31" i="1"/>
  <c r="GO31" i="1"/>
  <c r="GP31" i="1"/>
  <c r="GV31" i="1"/>
  <c r="HC31" i="1" s="1"/>
  <c r="GX31" i="1" s="1"/>
  <c r="C32" i="1"/>
  <c r="D32" i="1"/>
  <c r="I32" i="1"/>
  <c r="V32" i="1"/>
  <c r="AC32" i="1"/>
  <c r="AD32" i="1"/>
  <c r="AE32" i="1"/>
  <c r="AF32" i="1"/>
  <c r="AG32" i="1"/>
  <c r="CU32" i="1" s="1"/>
  <c r="T32" i="1" s="1"/>
  <c r="AH32" i="1"/>
  <c r="AI32" i="1"/>
  <c r="CW32" i="1" s="1"/>
  <c r="AJ32" i="1"/>
  <c r="CX32" i="1" s="1"/>
  <c r="W32" i="1" s="1"/>
  <c r="CQ32" i="1"/>
  <c r="CV32" i="1"/>
  <c r="U32" i="1" s="1"/>
  <c r="FR32" i="1"/>
  <c r="BY36" i="1" s="1"/>
  <c r="GL32" i="1"/>
  <c r="GO32" i="1"/>
  <c r="GP32" i="1"/>
  <c r="GV32" i="1"/>
  <c r="HC32" i="1" s="1"/>
  <c r="GX32" i="1" s="1"/>
  <c r="C33" i="1"/>
  <c r="D33" i="1"/>
  <c r="AC33" i="1"/>
  <c r="AD33" i="1"/>
  <c r="AE33" i="1"/>
  <c r="AF33" i="1"/>
  <c r="AG33" i="1"/>
  <c r="CU33" i="1" s="1"/>
  <c r="AH33" i="1"/>
  <c r="CV33" i="1" s="1"/>
  <c r="AI33" i="1"/>
  <c r="AJ33" i="1"/>
  <c r="CR33" i="1"/>
  <c r="CW33" i="1"/>
  <c r="CX33" i="1"/>
  <c r="FR33" i="1"/>
  <c r="GL33" i="1"/>
  <c r="GN33" i="1"/>
  <c r="GO33" i="1"/>
  <c r="GV33" i="1"/>
  <c r="HC33" i="1" s="1"/>
  <c r="C34" i="1"/>
  <c r="D34" i="1"/>
  <c r="AC34" i="1"/>
  <c r="AD34" i="1"/>
  <c r="AE34" i="1"/>
  <c r="AF34" i="1"/>
  <c r="AG34" i="1"/>
  <c r="CU34" i="1" s="1"/>
  <c r="AH34" i="1"/>
  <c r="CV34" i="1" s="1"/>
  <c r="AI34" i="1"/>
  <c r="CW34" i="1" s="1"/>
  <c r="AJ34" i="1"/>
  <c r="CX34" i="1" s="1"/>
  <c r="CQ34" i="1"/>
  <c r="CS34" i="1"/>
  <c r="FR34" i="1"/>
  <c r="GL34" i="1"/>
  <c r="GN34" i="1"/>
  <c r="GO34" i="1"/>
  <c r="GV34" i="1"/>
  <c r="HC34" i="1"/>
  <c r="B36" i="1"/>
  <c r="B26" i="1" s="1"/>
  <c r="C36" i="1"/>
  <c r="C26" i="1" s="1"/>
  <c r="D36" i="1"/>
  <c r="D26" i="1" s="1"/>
  <c r="F36" i="1"/>
  <c r="F26" i="1" s="1"/>
  <c r="G36" i="1"/>
  <c r="BX36" i="1"/>
  <c r="BX26" i="1" s="1"/>
  <c r="CK36" i="1"/>
  <c r="CK26" i="1" s="1"/>
  <c r="CL36" i="1"/>
  <c r="BC36" i="1" s="1"/>
  <c r="CM36" i="1"/>
  <c r="CM26" i="1" s="1"/>
  <c r="D66" i="1"/>
  <c r="E68" i="1"/>
  <c r="Z68" i="1"/>
  <c r="AA68" i="1"/>
  <c r="AM68" i="1"/>
  <c r="AN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DR68" i="1"/>
  <c r="DS68" i="1"/>
  <c r="DT68" i="1"/>
  <c r="DU68" i="1"/>
  <c r="DV68" i="1"/>
  <c r="DW68" i="1"/>
  <c r="DX68" i="1"/>
  <c r="DY68" i="1"/>
  <c r="DZ68" i="1"/>
  <c r="EA68" i="1"/>
  <c r="EB68" i="1"/>
  <c r="EC68" i="1"/>
  <c r="ED68" i="1"/>
  <c r="EE68" i="1"/>
  <c r="EF68" i="1"/>
  <c r="EG68" i="1"/>
  <c r="EH68" i="1"/>
  <c r="EI68" i="1"/>
  <c r="EJ68" i="1"/>
  <c r="EK68" i="1"/>
  <c r="EL68" i="1"/>
  <c r="EM68" i="1"/>
  <c r="EN68" i="1"/>
  <c r="EO68" i="1"/>
  <c r="EP68" i="1"/>
  <c r="EQ68" i="1"/>
  <c r="ER68" i="1"/>
  <c r="ES68" i="1"/>
  <c r="ET68" i="1"/>
  <c r="EU68" i="1"/>
  <c r="EV68" i="1"/>
  <c r="EW68" i="1"/>
  <c r="EX68" i="1"/>
  <c r="EY68" i="1"/>
  <c r="EZ68" i="1"/>
  <c r="FA68" i="1"/>
  <c r="FB68" i="1"/>
  <c r="FC68" i="1"/>
  <c r="FD68" i="1"/>
  <c r="FE68" i="1"/>
  <c r="FF68" i="1"/>
  <c r="FG68" i="1"/>
  <c r="FH68" i="1"/>
  <c r="FI68" i="1"/>
  <c r="FJ68" i="1"/>
  <c r="FK68" i="1"/>
  <c r="FL68" i="1"/>
  <c r="FM68" i="1"/>
  <c r="FN68" i="1"/>
  <c r="FO68" i="1"/>
  <c r="FP68" i="1"/>
  <c r="FQ68" i="1"/>
  <c r="FR68" i="1"/>
  <c r="FS68" i="1"/>
  <c r="FT68" i="1"/>
  <c r="FU68" i="1"/>
  <c r="FV68" i="1"/>
  <c r="FW68" i="1"/>
  <c r="FX68" i="1"/>
  <c r="FY68" i="1"/>
  <c r="FZ68" i="1"/>
  <c r="GA68" i="1"/>
  <c r="GB68" i="1"/>
  <c r="GC68" i="1"/>
  <c r="GD68" i="1"/>
  <c r="GE68" i="1"/>
  <c r="GF68" i="1"/>
  <c r="GG68" i="1"/>
  <c r="GH68" i="1"/>
  <c r="GI68" i="1"/>
  <c r="GJ68" i="1"/>
  <c r="GK68" i="1"/>
  <c r="GL68" i="1"/>
  <c r="GM68" i="1"/>
  <c r="GN68" i="1"/>
  <c r="GO68" i="1"/>
  <c r="GP68" i="1"/>
  <c r="GQ68" i="1"/>
  <c r="GR68" i="1"/>
  <c r="GS68" i="1"/>
  <c r="GT68" i="1"/>
  <c r="GU68" i="1"/>
  <c r="GV68" i="1"/>
  <c r="GW68" i="1"/>
  <c r="GX68" i="1"/>
  <c r="C70" i="1"/>
  <c r="D70" i="1"/>
  <c r="V70" i="1"/>
  <c r="AC70" i="1"/>
  <c r="I88" i="5" s="1"/>
  <c r="AD70" i="1"/>
  <c r="AE70" i="1"/>
  <c r="AF70" i="1"/>
  <c r="AG70" i="1"/>
  <c r="CU70" i="1" s="1"/>
  <c r="T70" i="1" s="1"/>
  <c r="AH70" i="1"/>
  <c r="AI70" i="1"/>
  <c r="CW70" i="1" s="1"/>
  <c r="AJ70" i="1"/>
  <c r="CQ70" i="1"/>
  <c r="P70" i="1" s="1"/>
  <c r="K88" i="5" s="1"/>
  <c r="CS70" i="1"/>
  <c r="CV70" i="1"/>
  <c r="U70" i="1" s="1"/>
  <c r="I92" i="5" s="1"/>
  <c r="AB92" i="5" s="1"/>
  <c r="CX70" i="1"/>
  <c r="W70" i="1" s="1"/>
  <c r="FR70" i="1"/>
  <c r="GL70" i="1"/>
  <c r="GN70" i="1"/>
  <c r="GP70" i="1"/>
  <c r="CD74" i="1" s="1"/>
  <c r="GV70" i="1"/>
  <c r="HC70" i="1" s="1"/>
  <c r="GX70" i="1" s="1"/>
  <c r="C71" i="1"/>
  <c r="D71" i="1"/>
  <c r="I71" i="1"/>
  <c r="AC71" i="1"/>
  <c r="AD71" i="1"/>
  <c r="I98" i="5" s="1"/>
  <c r="AE71" i="1"/>
  <c r="AF71" i="1"/>
  <c r="AG71" i="1"/>
  <c r="CU71" i="1" s="1"/>
  <c r="T71" i="1" s="1"/>
  <c r="AH71" i="1"/>
  <c r="CV71" i="1" s="1"/>
  <c r="U71" i="1" s="1"/>
  <c r="I103" i="5" s="1"/>
  <c r="AB103" i="5" s="1"/>
  <c r="AI71" i="1"/>
  <c r="AJ71" i="1"/>
  <c r="CR71" i="1"/>
  <c r="CS71" i="1"/>
  <c r="V95" i="5" s="1"/>
  <c r="K102" i="5" s="1"/>
  <c r="CT71" i="1"/>
  <c r="CW71" i="1"/>
  <c r="V71" i="1" s="1"/>
  <c r="CX71" i="1"/>
  <c r="W71" i="1" s="1"/>
  <c r="FR71" i="1"/>
  <c r="GL71" i="1"/>
  <c r="GN71" i="1"/>
  <c r="GP71" i="1"/>
  <c r="GV71" i="1"/>
  <c r="HC71" i="1" s="1"/>
  <c r="GX71" i="1" s="1"/>
  <c r="AC72" i="1"/>
  <c r="AD72" i="1"/>
  <c r="AE72" i="1"/>
  <c r="AF72" i="1"/>
  <c r="AG72" i="1"/>
  <c r="CU72" i="1" s="1"/>
  <c r="AH72" i="1"/>
  <c r="CV72" i="1" s="1"/>
  <c r="AI72" i="1"/>
  <c r="CW72" i="1" s="1"/>
  <c r="AJ72" i="1"/>
  <c r="CR72" i="1"/>
  <c r="CX72" i="1"/>
  <c r="FR72" i="1"/>
  <c r="GL72" i="1"/>
  <c r="BZ74" i="1" s="1"/>
  <c r="GO72" i="1"/>
  <c r="GP72" i="1"/>
  <c r="GV72" i="1"/>
  <c r="HC72" i="1" s="1"/>
  <c r="B74" i="1"/>
  <c r="B68" i="1" s="1"/>
  <c r="C74" i="1"/>
  <c r="C68" i="1" s="1"/>
  <c r="D74" i="1"/>
  <c r="D68" i="1" s="1"/>
  <c r="F74" i="1"/>
  <c r="F68" i="1" s="1"/>
  <c r="G74" i="1"/>
  <c r="BX74" i="1"/>
  <c r="BX68" i="1" s="1"/>
  <c r="CK74" i="1"/>
  <c r="BB74" i="1" s="1"/>
  <c r="CL74" i="1"/>
  <c r="CM74" i="1"/>
  <c r="BD74" i="1" s="1"/>
  <c r="BD68" i="1" s="1"/>
  <c r="F99" i="1"/>
  <c r="D104" i="1"/>
  <c r="E106" i="1"/>
  <c r="Z106" i="1"/>
  <c r="AA106" i="1"/>
  <c r="AM106" i="1"/>
  <c r="AN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DB106" i="1"/>
  <c r="DC106" i="1"/>
  <c r="DD106" i="1"/>
  <c r="DE106" i="1"/>
  <c r="DF106" i="1"/>
  <c r="DG106" i="1"/>
  <c r="DH106" i="1"/>
  <c r="DI106" i="1"/>
  <c r="DJ106" i="1"/>
  <c r="DK106" i="1"/>
  <c r="DL106" i="1"/>
  <c r="DM106" i="1"/>
  <c r="DN106" i="1"/>
  <c r="DO106" i="1"/>
  <c r="DP106" i="1"/>
  <c r="DQ106" i="1"/>
  <c r="DR106" i="1"/>
  <c r="DS106" i="1"/>
  <c r="DT106" i="1"/>
  <c r="DU106" i="1"/>
  <c r="DV106" i="1"/>
  <c r="DW106" i="1"/>
  <c r="DX106" i="1"/>
  <c r="DY106" i="1"/>
  <c r="DZ106" i="1"/>
  <c r="EA106" i="1"/>
  <c r="EB106" i="1"/>
  <c r="EC106" i="1"/>
  <c r="ED106" i="1"/>
  <c r="EE106" i="1"/>
  <c r="EF106" i="1"/>
  <c r="EG106" i="1"/>
  <c r="EH106" i="1"/>
  <c r="EI106" i="1"/>
  <c r="EJ106" i="1"/>
  <c r="EK106" i="1"/>
  <c r="EL106" i="1"/>
  <c r="EM106" i="1"/>
  <c r="EN106" i="1"/>
  <c r="EO106" i="1"/>
  <c r="EP106" i="1"/>
  <c r="EQ106" i="1"/>
  <c r="ER106" i="1"/>
  <c r="ES106" i="1"/>
  <c r="ET106" i="1"/>
  <c r="EU106" i="1"/>
  <c r="EV106" i="1"/>
  <c r="EW106" i="1"/>
  <c r="EX106" i="1"/>
  <c r="EY106" i="1"/>
  <c r="EZ106" i="1"/>
  <c r="FA106" i="1"/>
  <c r="FB106" i="1"/>
  <c r="FC106" i="1"/>
  <c r="FD106" i="1"/>
  <c r="FE106" i="1"/>
  <c r="FF106" i="1"/>
  <c r="FG106" i="1"/>
  <c r="FH106" i="1"/>
  <c r="FI106" i="1"/>
  <c r="FJ106" i="1"/>
  <c r="FK106" i="1"/>
  <c r="FL106" i="1"/>
  <c r="FM106" i="1"/>
  <c r="FN106" i="1"/>
  <c r="FO106" i="1"/>
  <c r="FP106" i="1"/>
  <c r="FQ106" i="1"/>
  <c r="FR106" i="1"/>
  <c r="FS106" i="1"/>
  <c r="FT106" i="1"/>
  <c r="FU106" i="1"/>
  <c r="FV106" i="1"/>
  <c r="FW106" i="1"/>
  <c r="FX106" i="1"/>
  <c r="FY106" i="1"/>
  <c r="FZ106" i="1"/>
  <c r="GA106" i="1"/>
  <c r="GB106" i="1"/>
  <c r="GC106" i="1"/>
  <c r="GD106" i="1"/>
  <c r="GE106" i="1"/>
  <c r="GF106" i="1"/>
  <c r="GG106" i="1"/>
  <c r="GH106" i="1"/>
  <c r="GI106" i="1"/>
  <c r="GJ106" i="1"/>
  <c r="GK106" i="1"/>
  <c r="GL106" i="1"/>
  <c r="GM106" i="1"/>
  <c r="GN106" i="1"/>
  <c r="GO106" i="1"/>
  <c r="GP106" i="1"/>
  <c r="GQ106" i="1"/>
  <c r="GR106" i="1"/>
  <c r="GS106" i="1"/>
  <c r="GT106" i="1"/>
  <c r="GU106" i="1"/>
  <c r="GV106" i="1"/>
  <c r="GW106" i="1"/>
  <c r="GX106" i="1"/>
  <c r="C109" i="1"/>
  <c r="D109" i="1"/>
  <c r="AC109" i="1"/>
  <c r="AD109" i="1"/>
  <c r="I119" i="5" s="1"/>
  <c r="AE109" i="1"/>
  <c r="AF109" i="1"/>
  <c r="AG109" i="1"/>
  <c r="CU109" i="1" s="1"/>
  <c r="T109" i="1" s="1"/>
  <c r="AH109" i="1"/>
  <c r="CV109" i="1" s="1"/>
  <c r="U109" i="1" s="1"/>
  <c r="I125" i="5" s="1"/>
  <c r="AB125" i="5" s="1"/>
  <c r="AI109" i="1"/>
  <c r="CW109" i="1" s="1"/>
  <c r="V109" i="1" s="1"/>
  <c r="AJ109" i="1"/>
  <c r="CT109" i="1"/>
  <c r="S109" i="1" s="1"/>
  <c r="K118" i="5" s="1"/>
  <c r="CX109" i="1"/>
  <c r="W109" i="1" s="1"/>
  <c r="FR109" i="1"/>
  <c r="GL109" i="1"/>
  <c r="GN109" i="1"/>
  <c r="GP109" i="1"/>
  <c r="GV109" i="1"/>
  <c r="HC109" i="1"/>
  <c r="GX109" i="1" s="1"/>
  <c r="P110" i="1"/>
  <c r="K128" i="5" s="1"/>
  <c r="AC110" i="1"/>
  <c r="I128" i="5" s="1"/>
  <c r="AD110" i="1"/>
  <c r="CR110" i="1" s="1"/>
  <c r="Q110" i="1" s="1"/>
  <c r="AE110" i="1"/>
  <c r="U128" i="5" s="1"/>
  <c r="AF110" i="1"/>
  <c r="AG110" i="1"/>
  <c r="AH110" i="1"/>
  <c r="CV110" i="1" s="1"/>
  <c r="U110" i="1" s="1"/>
  <c r="AI110" i="1"/>
  <c r="CW110" i="1" s="1"/>
  <c r="V110" i="1" s="1"/>
  <c r="AJ110" i="1"/>
  <c r="CX110" i="1" s="1"/>
  <c r="W110" i="1" s="1"/>
  <c r="CQ110" i="1"/>
  <c r="CS110" i="1"/>
  <c r="CU110" i="1"/>
  <c r="T110" i="1" s="1"/>
  <c r="GL110" i="1"/>
  <c r="GN110" i="1"/>
  <c r="GO110" i="1"/>
  <c r="GP110" i="1"/>
  <c r="GV110" i="1"/>
  <c r="HC110" i="1"/>
  <c r="GX110" i="1" s="1"/>
  <c r="C111" i="1"/>
  <c r="D111" i="1"/>
  <c r="I111" i="1"/>
  <c r="AC111" i="1"/>
  <c r="I136" i="5" s="1"/>
  <c r="AD111" i="1"/>
  <c r="I134" i="5" s="1"/>
  <c r="AE111" i="1"/>
  <c r="AF111" i="1"/>
  <c r="AG111" i="1"/>
  <c r="CU111" i="1" s="1"/>
  <c r="T111" i="1" s="1"/>
  <c r="AH111" i="1"/>
  <c r="CV111" i="1" s="1"/>
  <c r="U111" i="1" s="1"/>
  <c r="I140" i="5" s="1"/>
  <c r="AB140" i="5" s="1"/>
  <c r="AI111" i="1"/>
  <c r="AJ111" i="1"/>
  <c r="CR111" i="1"/>
  <c r="Q111" i="1" s="1"/>
  <c r="K134" i="5" s="1"/>
  <c r="CW111" i="1"/>
  <c r="V111" i="1" s="1"/>
  <c r="CX111" i="1"/>
  <c r="W111" i="1" s="1"/>
  <c r="FR111" i="1"/>
  <c r="GL111" i="1"/>
  <c r="GN111" i="1"/>
  <c r="GP111" i="1"/>
  <c r="GV111" i="1"/>
  <c r="HC111" i="1" s="1"/>
  <c r="GX111" i="1"/>
  <c r="AC112" i="1"/>
  <c r="I143" i="5" s="1"/>
  <c r="AD112" i="1"/>
  <c r="CR112" i="1" s="1"/>
  <c r="Q112" i="1" s="1"/>
  <c r="AE112" i="1"/>
  <c r="AF112" i="1"/>
  <c r="AB112" i="1" s="1"/>
  <c r="AG112" i="1"/>
  <c r="CU112" i="1" s="1"/>
  <c r="T112" i="1" s="1"/>
  <c r="AH112" i="1"/>
  <c r="CV112" i="1" s="1"/>
  <c r="U112" i="1" s="1"/>
  <c r="AI112" i="1"/>
  <c r="AJ112" i="1"/>
  <c r="CX112" i="1" s="1"/>
  <c r="W112" i="1" s="1"/>
  <c r="CQ112" i="1"/>
  <c r="P112" i="1" s="1"/>
  <c r="K143" i="5" s="1"/>
  <c r="CW112" i="1"/>
  <c r="V112" i="1" s="1"/>
  <c r="FR112" i="1"/>
  <c r="GL112" i="1"/>
  <c r="GO112" i="1"/>
  <c r="GP112" i="1"/>
  <c r="GV112" i="1"/>
  <c r="HC112" i="1" s="1"/>
  <c r="GX112" i="1" s="1"/>
  <c r="C113" i="1"/>
  <c r="D113" i="1"/>
  <c r="I113" i="1"/>
  <c r="AC113" i="1"/>
  <c r="I149" i="5" s="1"/>
  <c r="AD113" i="1"/>
  <c r="CR113" i="1" s="1"/>
  <c r="Q113" i="1" s="1"/>
  <c r="AE113" i="1"/>
  <c r="AF113" i="1"/>
  <c r="AG113" i="1"/>
  <c r="CU113" i="1" s="1"/>
  <c r="T113" i="1" s="1"/>
  <c r="AH113" i="1"/>
  <c r="CV113" i="1" s="1"/>
  <c r="U113" i="1" s="1"/>
  <c r="I152" i="5" s="1"/>
  <c r="AB152" i="5" s="1"/>
  <c r="AI113" i="1"/>
  <c r="CW113" i="1" s="1"/>
  <c r="V113" i="1" s="1"/>
  <c r="AJ113" i="1"/>
  <c r="CX113" i="1" s="1"/>
  <c r="W113" i="1" s="1"/>
  <c r="CQ113" i="1"/>
  <c r="P113" i="1" s="1"/>
  <c r="K149" i="5" s="1"/>
  <c r="CS113" i="1"/>
  <c r="FR113" i="1"/>
  <c r="GL113" i="1"/>
  <c r="GN113" i="1"/>
  <c r="GP113" i="1"/>
  <c r="GV113" i="1"/>
  <c r="HC113" i="1"/>
  <c r="GX113" i="1" s="1"/>
  <c r="AC114" i="1"/>
  <c r="I155" i="5" s="1"/>
  <c r="AD114" i="1"/>
  <c r="AE114" i="1"/>
  <c r="U155" i="5" s="1"/>
  <c r="AF114" i="1"/>
  <c r="AG114" i="1"/>
  <c r="AH114" i="1"/>
  <c r="CV114" i="1" s="1"/>
  <c r="U114" i="1" s="1"/>
  <c r="AI114" i="1"/>
  <c r="CW114" i="1" s="1"/>
  <c r="V114" i="1" s="1"/>
  <c r="AJ114" i="1"/>
  <c r="CX114" i="1" s="1"/>
  <c r="W114" i="1" s="1"/>
  <c r="CQ114" i="1"/>
  <c r="P114" i="1" s="1"/>
  <c r="K155" i="5" s="1"/>
  <c r="CU114" i="1"/>
  <c r="T114" i="1" s="1"/>
  <c r="FR114" i="1"/>
  <c r="GL114" i="1"/>
  <c r="GN114" i="1"/>
  <c r="GP114" i="1"/>
  <c r="GV114" i="1"/>
  <c r="HC114" i="1" s="1"/>
  <c r="GX114" i="1" s="1"/>
  <c r="B116" i="1"/>
  <c r="B106" i="1" s="1"/>
  <c r="C116" i="1"/>
  <c r="C106" i="1" s="1"/>
  <c r="D116" i="1"/>
  <c r="D106" i="1" s="1"/>
  <c r="F116" i="1"/>
  <c r="F106" i="1" s="1"/>
  <c r="G116" i="1"/>
  <c r="BX116" i="1"/>
  <c r="CK116" i="1"/>
  <c r="CK106" i="1" s="1"/>
  <c r="CL116" i="1"/>
  <c r="BC116" i="1" s="1"/>
  <c r="F132" i="1" s="1"/>
  <c r="CM116" i="1"/>
  <c r="D146" i="1"/>
  <c r="E148" i="1"/>
  <c r="Z148" i="1"/>
  <c r="AA148" i="1"/>
  <c r="AM148" i="1"/>
  <c r="AN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DB148" i="1"/>
  <c r="DC148" i="1"/>
  <c r="DD148" i="1"/>
  <c r="DE148" i="1"/>
  <c r="DF148" i="1"/>
  <c r="DG148" i="1"/>
  <c r="DH148" i="1"/>
  <c r="DI148" i="1"/>
  <c r="DJ148" i="1"/>
  <c r="DK148" i="1"/>
  <c r="DL148" i="1"/>
  <c r="DM148" i="1"/>
  <c r="DN148" i="1"/>
  <c r="DO148" i="1"/>
  <c r="DP148" i="1"/>
  <c r="DQ148" i="1"/>
  <c r="DR148" i="1"/>
  <c r="DS148" i="1"/>
  <c r="DT148" i="1"/>
  <c r="DU148" i="1"/>
  <c r="DV148" i="1"/>
  <c r="DW148" i="1"/>
  <c r="DX148" i="1"/>
  <c r="DY148" i="1"/>
  <c r="DZ148" i="1"/>
  <c r="EA148" i="1"/>
  <c r="EB148" i="1"/>
  <c r="EC148" i="1"/>
  <c r="ED148" i="1"/>
  <c r="EE148" i="1"/>
  <c r="EF148" i="1"/>
  <c r="EG148" i="1"/>
  <c r="EH148" i="1"/>
  <c r="EI148" i="1"/>
  <c r="EJ148" i="1"/>
  <c r="EK148" i="1"/>
  <c r="EL148" i="1"/>
  <c r="EM148" i="1"/>
  <c r="EN148" i="1"/>
  <c r="EO148" i="1"/>
  <c r="EP148" i="1"/>
  <c r="EQ148" i="1"/>
  <c r="ER148" i="1"/>
  <c r="ES148" i="1"/>
  <c r="ET148" i="1"/>
  <c r="EU148" i="1"/>
  <c r="EV148" i="1"/>
  <c r="EW148" i="1"/>
  <c r="EX148" i="1"/>
  <c r="EY148" i="1"/>
  <c r="EZ148" i="1"/>
  <c r="FA148" i="1"/>
  <c r="FB148" i="1"/>
  <c r="FC148" i="1"/>
  <c r="FD148" i="1"/>
  <c r="FE148" i="1"/>
  <c r="FF148" i="1"/>
  <c r="FG148" i="1"/>
  <c r="FH148" i="1"/>
  <c r="FI148" i="1"/>
  <c r="FJ148" i="1"/>
  <c r="FK148" i="1"/>
  <c r="FL148" i="1"/>
  <c r="FM148" i="1"/>
  <c r="FN148" i="1"/>
  <c r="FO148" i="1"/>
  <c r="FP148" i="1"/>
  <c r="FQ148" i="1"/>
  <c r="FR148" i="1"/>
  <c r="FS148" i="1"/>
  <c r="FT148" i="1"/>
  <c r="FU148" i="1"/>
  <c r="FV148" i="1"/>
  <c r="FW148" i="1"/>
  <c r="FX148" i="1"/>
  <c r="FY148" i="1"/>
  <c r="FZ148" i="1"/>
  <c r="GA148" i="1"/>
  <c r="GB148" i="1"/>
  <c r="GC148" i="1"/>
  <c r="GD148" i="1"/>
  <c r="GE148" i="1"/>
  <c r="GF148" i="1"/>
  <c r="GG148" i="1"/>
  <c r="GH148" i="1"/>
  <c r="GI148" i="1"/>
  <c r="GJ148" i="1"/>
  <c r="GK148" i="1"/>
  <c r="GL148" i="1"/>
  <c r="GM148" i="1"/>
  <c r="GN148" i="1"/>
  <c r="GO148" i="1"/>
  <c r="GP148" i="1"/>
  <c r="GQ148" i="1"/>
  <c r="GR148" i="1"/>
  <c r="GS148" i="1"/>
  <c r="GT148" i="1"/>
  <c r="GU148" i="1"/>
  <c r="GV148" i="1"/>
  <c r="GW148" i="1"/>
  <c r="GX148" i="1"/>
  <c r="C150" i="1"/>
  <c r="D150" i="1"/>
  <c r="AC150" i="1"/>
  <c r="AD150" i="1"/>
  <c r="AE150" i="1"/>
  <c r="U164" i="5" s="1"/>
  <c r="AF150" i="1"/>
  <c r="AG150" i="1"/>
  <c r="AH150" i="1"/>
  <c r="CV150" i="1" s="1"/>
  <c r="U150" i="1" s="1"/>
  <c r="I168" i="5" s="1"/>
  <c r="AB168" i="5" s="1"/>
  <c r="AI150" i="1"/>
  <c r="AJ150" i="1"/>
  <c r="CX150" i="1" s="1"/>
  <c r="W150" i="1" s="1"/>
  <c r="CQ150" i="1"/>
  <c r="P150" i="1" s="1"/>
  <c r="CR150" i="1"/>
  <c r="Q150" i="1" s="1"/>
  <c r="CS150" i="1"/>
  <c r="CU150" i="1"/>
  <c r="T150" i="1" s="1"/>
  <c r="CW150" i="1"/>
  <c r="V150" i="1" s="1"/>
  <c r="FR150" i="1"/>
  <c r="GL150" i="1"/>
  <c r="GN150" i="1"/>
  <c r="GO150" i="1"/>
  <c r="GV150" i="1"/>
  <c r="HC150" i="1" s="1"/>
  <c r="GX150" i="1" s="1"/>
  <c r="C151" i="1"/>
  <c r="D151" i="1"/>
  <c r="AC151" i="1"/>
  <c r="AD151" i="1"/>
  <c r="AE151" i="1"/>
  <c r="AF151" i="1"/>
  <c r="AG151" i="1"/>
  <c r="AH151" i="1"/>
  <c r="CV151" i="1" s="1"/>
  <c r="U151" i="1" s="1"/>
  <c r="I175" i="5" s="1"/>
  <c r="AB175" i="5" s="1"/>
  <c r="AI151" i="1"/>
  <c r="CW151" i="1" s="1"/>
  <c r="V151" i="1" s="1"/>
  <c r="AJ151" i="1"/>
  <c r="CX151" i="1" s="1"/>
  <c r="W151" i="1" s="1"/>
  <c r="CQ151" i="1"/>
  <c r="P151" i="1" s="1"/>
  <c r="CR151" i="1"/>
  <c r="Q151" i="1" s="1"/>
  <c r="CT151" i="1"/>
  <c r="S151" i="1" s="1"/>
  <c r="K172" i="5" s="1"/>
  <c r="CU151" i="1"/>
  <c r="T151" i="1" s="1"/>
  <c r="FR151" i="1"/>
  <c r="GL151" i="1"/>
  <c r="GN151" i="1"/>
  <c r="GO151" i="1"/>
  <c r="CC159" i="1" s="1"/>
  <c r="CC148" i="1" s="1"/>
  <c r="GV151" i="1"/>
  <c r="HC151" i="1" s="1"/>
  <c r="GX151" i="1" s="1"/>
  <c r="C152" i="1"/>
  <c r="D152" i="1"/>
  <c r="T152" i="1"/>
  <c r="AC152" i="1"/>
  <c r="AD152" i="1"/>
  <c r="AE152" i="1"/>
  <c r="AF152" i="1"/>
  <c r="AG152" i="1"/>
  <c r="CU152" i="1" s="1"/>
  <c r="AH152" i="1"/>
  <c r="AI152" i="1"/>
  <c r="CW152" i="1" s="1"/>
  <c r="V152" i="1" s="1"/>
  <c r="AJ152" i="1"/>
  <c r="CX152" i="1" s="1"/>
  <c r="W152" i="1" s="1"/>
  <c r="CQ152" i="1"/>
  <c r="P152" i="1" s="1"/>
  <c r="CR152" i="1"/>
  <c r="Q152" i="1" s="1"/>
  <c r="CT152" i="1"/>
  <c r="S152" i="1" s="1"/>
  <c r="CV152" i="1"/>
  <c r="U152" i="1" s="1"/>
  <c r="I182" i="5" s="1"/>
  <c r="AB182" i="5" s="1"/>
  <c r="FR152" i="1"/>
  <c r="GL152" i="1"/>
  <c r="GN152" i="1"/>
  <c r="GO152" i="1"/>
  <c r="GV152" i="1"/>
  <c r="HC152" i="1"/>
  <c r="GX152" i="1" s="1"/>
  <c r="C153" i="1"/>
  <c r="D153" i="1"/>
  <c r="AC153" i="1"/>
  <c r="AD153" i="1"/>
  <c r="AE153" i="1"/>
  <c r="U185" i="5" s="1"/>
  <c r="AF153" i="1"/>
  <c r="AG153" i="1"/>
  <c r="CU153" i="1" s="1"/>
  <c r="T153" i="1" s="1"/>
  <c r="AH153" i="1"/>
  <c r="CV153" i="1" s="1"/>
  <c r="U153" i="1" s="1"/>
  <c r="I189" i="5" s="1"/>
  <c r="AB189" i="5" s="1"/>
  <c r="AI153" i="1"/>
  <c r="AJ153" i="1"/>
  <c r="CX153" i="1" s="1"/>
  <c r="W153" i="1" s="1"/>
  <c r="CQ153" i="1"/>
  <c r="P153" i="1" s="1"/>
  <c r="CS153" i="1"/>
  <c r="CW153" i="1"/>
  <c r="V153" i="1" s="1"/>
  <c r="FR153" i="1"/>
  <c r="GL153" i="1"/>
  <c r="GN153" i="1"/>
  <c r="GO153" i="1"/>
  <c r="GV153" i="1"/>
  <c r="HC153" i="1"/>
  <c r="GX153" i="1" s="1"/>
  <c r="C154" i="1"/>
  <c r="D154" i="1"/>
  <c r="AC154" i="1"/>
  <c r="AD154" i="1"/>
  <c r="AE154" i="1"/>
  <c r="U192" i="5" s="1"/>
  <c r="AF154" i="1"/>
  <c r="AG154" i="1"/>
  <c r="CU154" i="1" s="1"/>
  <c r="T154" i="1" s="1"/>
  <c r="AH154" i="1"/>
  <c r="CV154" i="1" s="1"/>
  <c r="U154" i="1" s="1"/>
  <c r="I196" i="5" s="1"/>
  <c r="AB196" i="5" s="1"/>
  <c r="AI154" i="1"/>
  <c r="CW154" i="1" s="1"/>
  <c r="V154" i="1" s="1"/>
  <c r="AJ154" i="1"/>
  <c r="CR154" i="1"/>
  <c r="Q154" i="1" s="1"/>
  <c r="CS154" i="1"/>
  <c r="CT154" i="1"/>
  <c r="S154" i="1" s="1"/>
  <c r="K193" i="5" s="1"/>
  <c r="CX154" i="1"/>
  <c r="W154" i="1" s="1"/>
  <c r="FR154" i="1"/>
  <c r="GL154" i="1"/>
  <c r="GN154" i="1"/>
  <c r="GO154" i="1"/>
  <c r="GV154" i="1"/>
  <c r="HC154" i="1" s="1"/>
  <c r="GX154" i="1" s="1"/>
  <c r="C155" i="1"/>
  <c r="D155" i="1"/>
  <c r="AC155" i="1"/>
  <c r="CQ155" i="1" s="1"/>
  <c r="P155" i="1" s="1"/>
  <c r="AD155" i="1"/>
  <c r="CR155" i="1" s="1"/>
  <c r="Q155" i="1" s="1"/>
  <c r="AE155" i="1"/>
  <c r="U199" i="5" s="1"/>
  <c r="AF155" i="1"/>
  <c r="AG155" i="1"/>
  <c r="CU155" i="1" s="1"/>
  <c r="T155" i="1" s="1"/>
  <c r="AH155" i="1"/>
  <c r="CV155" i="1" s="1"/>
  <c r="U155" i="1" s="1"/>
  <c r="I203" i="5" s="1"/>
  <c r="AB203" i="5" s="1"/>
  <c r="AI155" i="1"/>
  <c r="AJ155" i="1"/>
  <c r="CX155" i="1" s="1"/>
  <c r="W155" i="1" s="1"/>
  <c r="CS155" i="1"/>
  <c r="V199" i="5" s="1"/>
  <c r="CW155" i="1"/>
  <c r="V155" i="1" s="1"/>
  <c r="FR155" i="1"/>
  <c r="GL155" i="1"/>
  <c r="BZ159" i="1" s="1"/>
  <c r="GN155" i="1"/>
  <c r="GO155" i="1"/>
  <c r="GV155" i="1"/>
  <c r="GX155" i="1"/>
  <c r="HC155" i="1"/>
  <c r="C156" i="1"/>
  <c r="D156" i="1"/>
  <c r="Q156" i="1"/>
  <c r="AC156" i="1"/>
  <c r="AD156" i="1"/>
  <c r="AE156" i="1"/>
  <c r="AF156" i="1"/>
  <c r="AG156" i="1"/>
  <c r="CU156" i="1" s="1"/>
  <c r="T156" i="1" s="1"/>
  <c r="AH156" i="1"/>
  <c r="CV156" i="1" s="1"/>
  <c r="U156" i="1" s="1"/>
  <c r="I210" i="5" s="1"/>
  <c r="AB210" i="5" s="1"/>
  <c r="AI156" i="1"/>
  <c r="CW156" i="1" s="1"/>
  <c r="V156" i="1" s="1"/>
  <c r="AJ156" i="1"/>
  <c r="CR156" i="1"/>
  <c r="CX156" i="1"/>
  <c r="W156" i="1" s="1"/>
  <c r="FR156" i="1"/>
  <c r="GL156" i="1"/>
  <c r="GN156" i="1"/>
  <c r="GO156" i="1"/>
  <c r="GV156" i="1"/>
  <c r="HC156" i="1" s="1"/>
  <c r="GX156" i="1" s="1"/>
  <c r="C157" i="1"/>
  <c r="D157" i="1"/>
  <c r="AC157" i="1"/>
  <c r="AD157" i="1"/>
  <c r="AE157" i="1"/>
  <c r="AF157" i="1"/>
  <c r="AB157" i="1" s="1"/>
  <c r="AG157" i="1"/>
  <c r="CU157" i="1" s="1"/>
  <c r="T157" i="1" s="1"/>
  <c r="AH157" i="1"/>
  <c r="CV157" i="1" s="1"/>
  <c r="U157" i="1" s="1"/>
  <c r="I217" i="5" s="1"/>
  <c r="AB217" i="5" s="1"/>
  <c r="AI157" i="1"/>
  <c r="AJ157" i="1"/>
  <c r="CX157" i="1" s="1"/>
  <c r="W157" i="1" s="1"/>
  <c r="CQ157" i="1"/>
  <c r="P157" i="1" s="1"/>
  <c r="CR157" i="1"/>
  <c r="Q157" i="1" s="1"/>
  <c r="CW157" i="1"/>
  <c r="V157" i="1" s="1"/>
  <c r="FR157" i="1"/>
  <c r="GL157" i="1"/>
  <c r="GN157" i="1"/>
  <c r="GO157" i="1"/>
  <c r="GV157" i="1"/>
  <c r="HC157" i="1" s="1"/>
  <c r="GX157" i="1" s="1"/>
  <c r="B159" i="1"/>
  <c r="B148" i="1" s="1"/>
  <c r="C159" i="1"/>
  <c r="C148" i="1" s="1"/>
  <c r="D159" i="1"/>
  <c r="D148" i="1" s="1"/>
  <c r="F159" i="1"/>
  <c r="F148" i="1" s="1"/>
  <c r="G159" i="1"/>
  <c r="A221" i="5" s="1"/>
  <c r="BX159" i="1"/>
  <c r="BX148" i="1" s="1"/>
  <c r="CK159" i="1"/>
  <c r="CL159" i="1"/>
  <c r="BC159" i="1" s="1"/>
  <c r="CM159" i="1"/>
  <c r="CM148" i="1" s="1"/>
  <c r="B189" i="1"/>
  <c r="B22" i="1" s="1"/>
  <c r="C189" i="1"/>
  <c r="C22" i="1" s="1"/>
  <c r="D189" i="1"/>
  <c r="D22" i="1" s="1"/>
  <c r="F189" i="1"/>
  <c r="F22" i="1" s="1"/>
  <c r="G189" i="1"/>
  <c r="B219" i="1"/>
  <c r="D219" i="1"/>
  <c r="B221" i="1"/>
  <c r="B18" i="1" s="1"/>
  <c r="C221" i="1"/>
  <c r="C18" i="1" s="1"/>
  <c r="D221" i="1"/>
  <c r="D18" i="1" s="1"/>
  <c r="F221" i="1"/>
  <c r="F18" i="1" s="1"/>
  <c r="G221" i="1"/>
  <c r="G18" i="1" l="1"/>
  <c r="A229" i="5"/>
  <c r="I207" i="5"/>
  <c r="S206" i="5"/>
  <c r="I209" i="5" s="1"/>
  <c r="Q206" i="5"/>
  <c r="I208" i="5" s="1"/>
  <c r="CZ152" i="1"/>
  <c r="Y152" i="1" s="1"/>
  <c r="T178" i="5" s="1"/>
  <c r="K181" i="5" s="1"/>
  <c r="K179" i="5"/>
  <c r="CS151" i="1"/>
  <c r="U171" i="5"/>
  <c r="R110" i="1"/>
  <c r="GK110" i="1" s="1"/>
  <c r="V128" i="5"/>
  <c r="CT32" i="1"/>
  <c r="S32" i="1" s="1"/>
  <c r="Q63" i="5"/>
  <c r="S63" i="5"/>
  <c r="CT31" i="1"/>
  <c r="S31" i="1" s="1"/>
  <c r="CZ31" i="1" s="1"/>
  <c r="Y31" i="1" s="1"/>
  <c r="T56" i="5" s="1"/>
  <c r="K58" i="5" s="1"/>
  <c r="Q56" i="5"/>
  <c r="S56" i="5"/>
  <c r="BZ36" i="1"/>
  <c r="CL26" i="1"/>
  <c r="CS157" i="1"/>
  <c r="U213" i="5"/>
  <c r="CS156" i="1"/>
  <c r="U206" i="5"/>
  <c r="CT155" i="1"/>
  <c r="S155" i="1" s="1"/>
  <c r="K200" i="5" s="1"/>
  <c r="Q199" i="5"/>
  <c r="I201" i="5" s="1"/>
  <c r="S199" i="5"/>
  <c r="I202" i="5" s="1"/>
  <c r="I200" i="5"/>
  <c r="I193" i="5"/>
  <c r="S192" i="5"/>
  <c r="I195" i="5" s="1"/>
  <c r="Q192" i="5"/>
  <c r="I194" i="5" s="1"/>
  <c r="AB151" i="1"/>
  <c r="R150" i="1"/>
  <c r="GK150" i="1" s="1"/>
  <c r="V164" i="5"/>
  <c r="BB116" i="1"/>
  <c r="CS114" i="1"/>
  <c r="AH116" i="1"/>
  <c r="CT113" i="1"/>
  <c r="S113" i="1" s="1"/>
  <c r="K148" i="5" s="1"/>
  <c r="S146" i="5"/>
  <c r="I151" i="5" s="1"/>
  <c r="Q146" i="5"/>
  <c r="I150" i="5" s="1"/>
  <c r="I148" i="5"/>
  <c r="CS112" i="1"/>
  <c r="U143" i="5"/>
  <c r="CT111" i="1"/>
  <c r="S111" i="1" s="1"/>
  <c r="S131" i="5"/>
  <c r="I138" i="5" s="1"/>
  <c r="I133" i="5"/>
  <c r="Q131" i="5"/>
  <c r="I137" i="5" s="1"/>
  <c r="CX18" i="3"/>
  <c r="C132" i="5"/>
  <c r="E131" i="5"/>
  <c r="O129" i="5"/>
  <c r="H129" i="5"/>
  <c r="Z129" i="5"/>
  <c r="I24" i="5" s="1"/>
  <c r="CR109" i="1"/>
  <c r="Q109" i="1" s="1"/>
  <c r="K119" i="5" s="1"/>
  <c r="CQ109" i="1"/>
  <c r="P109" i="1" s="1"/>
  <c r="K121" i="5" s="1"/>
  <c r="I121" i="5"/>
  <c r="CL106" i="1"/>
  <c r="CT72" i="1"/>
  <c r="Q106" i="5"/>
  <c r="I97" i="5"/>
  <c r="S95" i="5"/>
  <c r="I101" i="5" s="1"/>
  <c r="Q95" i="5"/>
  <c r="I100" i="5" s="1"/>
  <c r="I87" i="5"/>
  <c r="W87" i="5" s="1"/>
  <c r="U84" i="5"/>
  <c r="I91" i="5" s="1"/>
  <c r="CT34" i="1"/>
  <c r="CS33" i="1"/>
  <c r="I66" i="5"/>
  <c r="W66" i="5" s="1"/>
  <c r="U63" i="5"/>
  <c r="I67" i="5" s="1"/>
  <c r="E63" i="5"/>
  <c r="C64" i="5"/>
  <c r="CS31" i="1"/>
  <c r="U56" i="5"/>
  <c r="Q51" i="5"/>
  <c r="I57" i="5" s="1"/>
  <c r="S51" i="5"/>
  <c r="I58" i="5" s="1"/>
  <c r="I52" i="5"/>
  <c r="CT29" i="1"/>
  <c r="S29" i="1" s="1"/>
  <c r="K42" i="5" s="1"/>
  <c r="Q41" i="5"/>
  <c r="I45" i="5" s="1"/>
  <c r="I42" i="5"/>
  <c r="S41" i="5"/>
  <c r="I46" i="5" s="1"/>
  <c r="AB29" i="1"/>
  <c r="CT153" i="1"/>
  <c r="S153" i="1" s="1"/>
  <c r="Q185" i="5"/>
  <c r="I187" i="5" s="1"/>
  <c r="S185" i="5"/>
  <c r="I188" i="5" s="1"/>
  <c r="I186" i="5"/>
  <c r="CT150" i="1"/>
  <c r="S150" i="1" s="1"/>
  <c r="K165" i="5" s="1"/>
  <c r="Q164" i="5"/>
  <c r="I166" i="5" s="1"/>
  <c r="S164" i="5"/>
  <c r="I167" i="5" s="1"/>
  <c r="I165" i="5"/>
  <c r="S143" i="5"/>
  <c r="Q143" i="5"/>
  <c r="CQ72" i="1"/>
  <c r="I106" i="5"/>
  <c r="CT70" i="1"/>
  <c r="S70" i="1" s="1"/>
  <c r="K85" i="5" s="1"/>
  <c r="Q84" i="5"/>
  <c r="I89" i="5" s="1"/>
  <c r="I85" i="5"/>
  <c r="S84" i="5"/>
  <c r="I90" i="5" s="1"/>
  <c r="CT33" i="1"/>
  <c r="CQ30" i="1"/>
  <c r="P30" i="1" s="1"/>
  <c r="K55" i="5" s="1"/>
  <c r="I55" i="5"/>
  <c r="CT156" i="1"/>
  <c r="S156" i="1" s="1"/>
  <c r="K207" i="5" s="1"/>
  <c r="R153" i="1"/>
  <c r="GK153" i="1" s="1"/>
  <c r="V185" i="5"/>
  <c r="G148" i="1"/>
  <c r="G106" i="1"/>
  <c r="A159" i="5"/>
  <c r="J156" i="5"/>
  <c r="P156" i="5"/>
  <c r="H156" i="5"/>
  <c r="O156" i="5"/>
  <c r="Y156" i="5"/>
  <c r="U146" i="5"/>
  <c r="CT112" i="1"/>
  <c r="S112" i="1" s="1"/>
  <c r="CY112" i="1" s="1"/>
  <c r="X112" i="1" s="1"/>
  <c r="R143" i="5" s="1"/>
  <c r="CS111" i="1"/>
  <c r="U131" i="5"/>
  <c r="I139" i="5" s="1"/>
  <c r="I135" i="5"/>
  <c r="W135" i="5" s="1"/>
  <c r="CT110" i="1"/>
  <c r="S110" i="1" s="1"/>
  <c r="AF116" i="1" s="1"/>
  <c r="S128" i="5"/>
  <c r="Q128" i="5"/>
  <c r="I118" i="5"/>
  <c r="S117" i="5"/>
  <c r="I123" i="5" s="1"/>
  <c r="Q117" i="5"/>
  <c r="I122" i="5" s="1"/>
  <c r="CS72" i="1"/>
  <c r="BY74" i="1"/>
  <c r="I99" i="5"/>
  <c r="W99" i="5" s="1"/>
  <c r="U95" i="5"/>
  <c r="I102" i="5" s="1"/>
  <c r="E95" i="5"/>
  <c r="C96" i="5"/>
  <c r="R70" i="1"/>
  <c r="K87" i="5" s="1"/>
  <c r="V84" i="5"/>
  <c r="K91" i="5" s="1"/>
  <c r="CR70" i="1"/>
  <c r="Q70" i="1" s="1"/>
  <c r="K86" i="5" s="1"/>
  <c r="I86" i="5"/>
  <c r="CM68" i="1"/>
  <c r="CS32" i="1"/>
  <c r="I65" i="5"/>
  <c r="U31" i="1"/>
  <c r="CS30" i="1"/>
  <c r="I54" i="5"/>
  <c r="W54" i="5" s="1"/>
  <c r="U51" i="5"/>
  <c r="CS29" i="1"/>
  <c r="I44" i="5"/>
  <c r="W44" i="5" s="1"/>
  <c r="U41" i="5"/>
  <c r="I47" i="5" s="1"/>
  <c r="CT157" i="1"/>
  <c r="S157" i="1" s="1"/>
  <c r="Q213" i="5"/>
  <c r="I215" i="5" s="1"/>
  <c r="S213" i="5"/>
  <c r="I216" i="5" s="1"/>
  <c r="I214" i="5"/>
  <c r="CS152" i="1"/>
  <c r="U178" i="5"/>
  <c r="G22" i="1"/>
  <c r="AL225" i="5"/>
  <c r="A225" i="5"/>
  <c r="R155" i="1"/>
  <c r="GK155" i="1" s="1"/>
  <c r="R154" i="1"/>
  <c r="GK154" i="1" s="1"/>
  <c r="V192" i="5"/>
  <c r="I179" i="5"/>
  <c r="Q178" i="5"/>
  <c r="I180" i="5" s="1"/>
  <c r="S178" i="5"/>
  <c r="I181" i="5" s="1"/>
  <c r="Q171" i="5"/>
  <c r="I173" i="5" s="1"/>
  <c r="I172" i="5"/>
  <c r="S171" i="5"/>
  <c r="I174" i="5" s="1"/>
  <c r="CT114" i="1"/>
  <c r="S114" i="1" s="1"/>
  <c r="Q155" i="5"/>
  <c r="S155" i="5"/>
  <c r="R113" i="1"/>
  <c r="GK113" i="1" s="1"/>
  <c r="V146" i="5"/>
  <c r="E146" i="5"/>
  <c r="C147" i="5"/>
  <c r="P144" i="5"/>
  <c r="J144" i="5"/>
  <c r="O144" i="5"/>
  <c r="X144" i="5"/>
  <c r="H144" i="5"/>
  <c r="P129" i="5"/>
  <c r="J129" i="5"/>
  <c r="CS109" i="1"/>
  <c r="I120" i="5"/>
  <c r="W120" i="5" s="1"/>
  <c r="U117" i="5"/>
  <c r="I124" i="5" s="1"/>
  <c r="G68" i="1"/>
  <c r="A110" i="5"/>
  <c r="G26" i="1"/>
  <c r="A79" i="5"/>
  <c r="AB34" i="1"/>
  <c r="I56" i="5"/>
  <c r="X56" i="5" s="1"/>
  <c r="CY30" i="1"/>
  <c r="X30" i="1" s="1"/>
  <c r="R51" i="5" s="1"/>
  <c r="K52" i="5"/>
  <c r="I27" i="5"/>
  <c r="CX19" i="3"/>
  <c r="CY154" i="1"/>
  <c r="X154" i="1" s="1"/>
  <c r="R192" i="5" s="1"/>
  <c r="K194" i="5" s="1"/>
  <c r="P197" i="5" s="1"/>
  <c r="CZ154" i="1"/>
  <c r="Y154" i="1" s="1"/>
  <c r="T192" i="5" s="1"/>
  <c r="K195" i="5" s="1"/>
  <c r="AJ159" i="1"/>
  <c r="AH159" i="1"/>
  <c r="CY156" i="1"/>
  <c r="X156" i="1" s="1"/>
  <c r="R206" i="5" s="1"/>
  <c r="K208" i="5" s="1"/>
  <c r="CZ156" i="1"/>
  <c r="Y156" i="1" s="1"/>
  <c r="T206" i="5" s="1"/>
  <c r="K209" i="5" s="1"/>
  <c r="AH106" i="1"/>
  <c r="U116" i="1"/>
  <c r="AQ159" i="1"/>
  <c r="BZ148" i="1"/>
  <c r="CG159" i="1"/>
  <c r="AG159" i="1"/>
  <c r="CY150" i="1"/>
  <c r="X150" i="1" s="1"/>
  <c r="R164" i="5" s="1"/>
  <c r="K166" i="5" s="1"/>
  <c r="CZ150" i="1"/>
  <c r="Y150" i="1" s="1"/>
  <c r="T164" i="5" s="1"/>
  <c r="K167" i="5" s="1"/>
  <c r="AF159" i="1"/>
  <c r="CZ110" i="1"/>
  <c r="Y110" i="1" s="1"/>
  <c r="T128" i="5" s="1"/>
  <c r="CZ155" i="1"/>
  <c r="Y155" i="1" s="1"/>
  <c r="T199" i="5" s="1"/>
  <c r="K202" i="5" s="1"/>
  <c r="CY155" i="1"/>
  <c r="X155" i="1" s="1"/>
  <c r="R199" i="5" s="1"/>
  <c r="K201" i="5" s="1"/>
  <c r="BY159" i="1"/>
  <c r="CY109" i="1"/>
  <c r="X109" i="1" s="1"/>
  <c r="R117" i="5" s="1"/>
  <c r="K122" i="5" s="1"/>
  <c r="CZ109" i="1"/>
  <c r="Y109" i="1" s="1"/>
  <c r="CZ157" i="1"/>
  <c r="Y157" i="1" s="1"/>
  <c r="T213" i="5" s="1"/>
  <c r="K216" i="5" s="1"/>
  <c r="CP152" i="1"/>
  <c r="O152" i="1" s="1"/>
  <c r="AB111" i="1"/>
  <c r="CQ111" i="1"/>
  <c r="P111" i="1" s="1"/>
  <c r="CJ116" i="1"/>
  <c r="AD116" i="1"/>
  <c r="AO159" i="1"/>
  <c r="CJ159" i="1"/>
  <c r="AI159" i="1"/>
  <c r="AC116" i="1"/>
  <c r="CP109" i="1"/>
  <c r="O109" i="1" s="1"/>
  <c r="AB110" i="1"/>
  <c r="GK70" i="1"/>
  <c r="CQ33" i="1"/>
  <c r="AB33" i="1"/>
  <c r="CY152" i="1"/>
  <c r="X152" i="1" s="1"/>
  <c r="R178" i="5" s="1"/>
  <c r="K180" i="5" s="1"/>
  <c r="CP114" i="1"/>
  <c r="O114" i="1" s="1"/>
  <c r="AJ116" i="1"/>
  <c r="AT159" i="1"/>
  <c r="CR114" i="1"/>
  <c r="Q114" i="1" s="1"/>
  <c r="AB114" i="1"/>
  <c r="CP157" i="1"/>
  <c r="O157" i="1" s="1"/>
  <c r="CP155" i="1"/>
  <c r="O155" i="1" s="1"/>
  <c r="CB159" i="1"/>
  <c r="BB106" i="1"/>
  <c r="F129" i="1"/>
  <c r="CY113" i="1"/>
  <c r="X113" i="1" s="1"/>
  <c r="R146" i="5" s="1"/>
  <c r="K150" i="5" s="1"/>
  <c r="CZ113" i="1"/>
  <c r="Y113" i="1" s="1"/>
  <c r="T146" i="5" s="1"/>
  <c r="K151" i="5" s="1"/>
  <c r="CP110" i="1"/>
  <c r="O110" i="1" s="1"/>
  <c r="FR110" i="1"/>
  <c r="BY116" i="1" s="1"/>
  <c r="CD68" i="1"/>
  <c r="AU74" i="1"/>
  <c r="CY31" i="1"/>
  <c r="X31" i="1" s="1"/>
  <c r="R56" i="5" s="1"/>
  <c r="AB154" i="1"/>
  <c r="CQ154" i="1"/>
  <c r="P154" i="1" s="1"/>
  <c r="CP154" i="1" s="1"/>
  <c r="O154" i="1" s="1"/>
  <c r="CY151" i="1"/>
  <c r="X151" i="1" s="1"/>
  <c r="R171" i="5" s="1"/>
  <c r="K173" i="5" s="1"/>
  <c r="P176" i="5" s="1"/>
  <c r="CZ151" i="1"/>
  <c r="Y151" i="1" s="1"/>
  <c r="T171" i="5" s="1"/>
  <c r="K174" i="5" s="1"/>
  <c r="CM106" i="1"/>
  <c r="BD116" i="1"/>
  <c r="CR153" i="1"/>
  <c r="Q153" i="1" s="1"/>
  <c r="AD159" i="1" s="1"/>
  <c r="AB153" i="1"/>
  <c r="AG116" i="1"/>
  <c r="BC148" i="1"/>
  <c r="F175" i="1"/>
  <c r="BD159" i="1"/>
  <c r="CK148" i="1"/>
  <c r="BB159" i="1"/>
  <c r="AB155" i="1"/>
  <c r="CP150" i="1"/>
  <c r="O150" i="1" s="1"/>
  <c r="CL68" i="1"/>
  <c r="BC74" i="1"/>
  <c r="CZ70" i="1"/>
  <c r="Y70" i="1" s="1"/>
  <c r="T84" i="5" s="1"/>
  <c r="K90" i="5" s="1"/>
  <c r="CY70" i="1"/>
  <c r="X70" i="1" s="1"/>
  <c r="R84" i="5" s="1"/>
  <c r="K89" i="5" s="1"/>
  <c r="CQ156" i="1"/>
  <c r="P156" i="1" s="1"/>
  <c r="CP156" i="1" s="1"/>
  <c r="O156" i="1" s="1"/>
  <c r="AB156" i="1"/>
  <c r="AB150" i="1"/>
  <c r="BX106" i="1"/>
  <c r="AO116" i="1"/>
  <c r="CC36" i="1"/>
  <c r="CP70" i="1"/>
  <c r="O70" i="1" s="1"/>
  <c r="CP151" i="1"/>
  <c r="O151" i="1" s="1"/>
  <c r="CP113" i="1"/>
  <c r="O113" i="1" s="1"/>
  <c r="CP112" i="1"/>
  <c r="O112" i="1" s="1"/>
  <c r="BZ116" i="1"/>
  <c r="AI116" i="1"/>
  <c r="CY29" i="1"/>
  <c r="X29" i="1" s="1"/>
  <c r="R41" i="5" s="1"/>
  <c r="K45" i="5" s="1"/>
  <c r="CZ112" i="1"/>
  <c r="Y112" i="1" s="1"/>
  <c r="T143" i="5" s="1"/>
  <c r="AB152" i="1"/>
  <c r="CG116" i="1"/>
  <c r="BC106" i="1"/>
  <c r="CX16" i="3"/>
  <c r="I72" i="1"/>
  <c r="S71" i="1"/>
  <c r="K97" i="5" s="1"/>
  <c r="BB68" i="1"/>
  <c r="F87" i="1"/>
  <c r="W72" i="1"/>
  <c r="AJ74" i="1" s="1"/>
  <c r="CL148" i="1"/>
  <c r="CD116" i="1"/>
  <c r="Q72" i="1"/>
  <c r="P72" i="1"/>
  <c r="R71" i="1"/>
  <c r="CK68" i="1"/>
  <c r="BC26" i="1"/>
  <c r="F52" i="1"/>
  <c r="BZ68" i="1"/>
  <c r="AQ74" i="1"/>
  <c r="CG74" i="1"/>
  <c r="BY26" i="1"/>
  <c r="AP36" i="1"/>
  <c r="CI36" i="1"/>
  <c r="CY32" i="1"/>
  <c r="X32" i="1" s="1"/>
  <c r="R63" i="5" s="1"/>
  <c r="CZ32" i="1"/>
  <c r="Y32" i="1" s="1"/>
  <c r="T63" i="5" s="1"/>
  <c r="AB113" i="1"/>
  <c r="AB109" i="1"/>
  <c r="V72" i="1"/>
  <c r="AI74" i="1" s="1"/>
  <c r="CQ71" i="1"/>
  <c r="P71" i="1" s="1"/>
  <c r="AB71" i="1"/>
  <c r="BZ26" i="1"/>
  <c r="AQ36" i="1"/>
  <c r="AO74" i="1"/>
  <c r="AB31" i="1"/>
  <c r="CQ31" i="1"/>
  <c r="P31" i="1" s="1"/>
  <c r="AB70" i="1"/>
  <c r="CX12" i="3"/>
  <c r="I33" i="1"/>
  <c r="E70" i="5" s="1"/>
  <c r="AB72" i="1"/>
  <c r="CG36" i="1"/>
  <c r="AO36" i="1"/>
  <c r="AB32" i="1"/>
  <c r="Q71" i="1"/>
  <c r="P32" i="1"/>
  <c r="CR34" i="1"/>
  <c r="CR32" i="1"/>
  <c r="Q32" i="1" s="1"/>
  <c r="K65" i="5" s="1"/>
  <c r="BD36" i="1"/>
  <c r="BB36" i="1"/>
  <c r="AD74" i="1" l="1"/>
  <c r="K98" i="5"/>
  <c r="K57" i="5"/>
  <c r="O107" i="5"/>
  <c r="H107" i="5"/>
  <c r="X107" i="5"/>
  <c r="H190" i="5"/>
  <c r="W186" i="5"/>
  <c r="AA190" i="5"/>
  <c r="O190" i="5"/>
  <c r="J183" i="5"/>
  <c r="P183" i="5"/>
  <c r="J176" i="5"/>
  <c r="CP30" i="1"/>
  <c r="O30" i="1" s="1"/>
  <c r="V33" i="1"/>
  <c r="U72" i="1"/>
  <c r="AH74" i="1" s="1"/>
  <c r="E106" i="5"/>
  <c r="S72" i="1"/>
  <c r="CY110" i="1"/>
  <c r="X110" i="1" s="1"/>
  <c r="R128" i="5" s="1"/>
  <c r="CY114" i="1"/>
  <c r="X114" i="1" s="1"/>
  <c r="R155" i="5" s="1"/>
  <c r="CZ114" i="1"/>
  <c r="Y114" i="1" s="1"/>
  <c r="T155" i="5" s="1"/>
  <c r="R30" i="1"/>
  <c r="V51" i="5"/>
  <c r="I71" i="5"/>
  <c r="U106" i="5"/>
  <c r="Y126" i="5"/>
  <c r="W118" i="5"/>
  <c r="O126" i="5"/>
  <c r="H126" i="5"/>
  <c r="J197" i="5"/>
  <c r="S70" i="5"/>
  <c r="O93" i="5"/>
  <c r="H93" i="5"/>
  <c r="Y93" i="5"/>
  <c r="W85" i="5"/>
  <c r="O61" i="5"/>
  <c r="W52" i="5"/>
  <c r="R31" i="1"/>
  <c r="GK31" i="1" s="1"/>
  <c r="V56" i="5"/>
  <c r="S106" i="5"/>
  <c r="R156" i="1"/>
  <c r="GK156" i="1" s="1"/>
  <c r="V206" i="5"/>
  <c r="GK71" i="1"/>
  <c r="K99" i="5"/>
  <c r="W33" i="1"/>
  <c r="CP72" i="1"/>
  <c r="O72" i="1" s="1"/>
  <c r="K106" i="5"/>
  <c r="H218" i="5"/>
  <c r="W214" i="5"/>
  <c r="AA218" i="5"/>
  <c r="O218" i="5"/>
  <c r="R32" i="1"/>
  <c r="V63" i="5"/>
  <c r="K67" i="5" s="1"/>
  <c r="P68" i="5" s="1"/>
  <c r="AP74" i="1"/>
  <c r="CI74" i="1"/>
  <c r="W165" i="5"/>
  <c r="H169" i="5"/>
  <c r="AA169" i="5"/>
  <c r="O169" i="5"/>
  <c r="CY111" i="1"/>
  <c r="X111" i="1" s="1"/>
  <c r="R131" i="5" s="1"/>
  <c r="K137" i="5" s="1"/>
  <c r="K133" i="5"/>
  <c r="CZ111" i="1"/>
  <c r="Y111" i="1" s="1"/>
  <c r="T131" i="5" s="1"/>
  <c r="K138" i="5" s="1"/>
  <c r="R114" i="1"/>
  <c r="GK114" i="1" s="1"/>
  <c r="V155" i="5"/>
  <c r="H204" i="5"/>
  <c r="W200" i="5"/>
  <c r="AA204" i="5"/>
  <c r="O204" i="5"/>
  <c r="W207" i="5"/>
  <c r="AA211" i="5"/>
  <c r="O211" i="5"/>
  <c r="H211" i="5"/>
  <c r="CP32" i="1"/>
  <c r="O32" i="1" s="1"/>
  <c r="CP29" i="1"/>
  <c r="O29" i="1" s="1"/>
  <c r="CZ29" i="1"/>
  <c r="Y29" i="1" s="1"/>
  <c r="T41" i="5" s="1"/>
  <c r="K46" i="5" s="1"/>
  <c r="P49" i="5" s="1"/>
  <c r="BY68" i="1"/>
  <c r="CP111" i="1"/>
  <c r="O111" i="1" s="1"/>
  <c r="K136" i="5"/>
  <c r="R29" i="1"/>
  <c r="V41" i="5"/>
  <c r="K47" i="5" s="1"/>
  <c r="V106" i="5"/>
  <c r="J211" i="5"/>
  <c r="P211" i="5"/>
  <c r="Q70" i="5"/>
  <c r="X49" i="5"/>
  <c r="O49" i="5"/>
  <c r="W42" i="5"/>
  <c r="H49" i="5"/>
  <c r="U70" i="5"/>
  <c r="O141" i="5"/>
  <c r="Y141" i="5"/>
  <c r="W133" i="5"/>
  <c r="H141" i="5"/>
  <c r="R112" i="1"/>
  <c r="GK112" i="1" s="1"/>
  <c r="V143" i="5"/>
  <c r="J153" i="5"/>
  <c r="P153" i="5"/>
  <c r="J126" i="5"/>
  <c r="AL116" i="1"/>
  <c r="AL106" i="1" s="1"/>
  <c r="T117" i="5"/>
  <c r="K123" i="5" s="1"/>
  <c r="P126" i="5" s="1"/>
  <c r="R109" i="1"/>
  <c r="V117" i="5"/>
  <c r="K124" i="5" s="1"/>
  <c r="H176" i="5"/>
  <c r="W172" i="5"/>
  <c r="AA176" i="5"/>
  <c r="O176" i="5"/>
  <c r="W179" i="5"/>
  <c r="AA183" i="5"/>
  <c r="O183" i="5"/>
  <c r="H183" i="5"/>
  <c r="R152" i="1"/>
  <c r="GK152" i="1" s="1"/>
  <c r="V178" i="5"/>
  <c r="CY157" i="1"/>
  <c r="X157" i="1" s="1"/>
  <c r="R213" i="5" s="1"/>
  <c r="K215" i="5" s="1"/>
  <c r="K214" i="5"/>
  <c r="I59" i="5"/>
  <c r="H61" i="5" s="1"/>
  <c r="X68" i="5"/>
  <c r="O68" i="5"/>
  <c r="H68" i="5"/>
  <c r="V131" i="5"/>
  <c r="K139" i="5" s="1"/>
  <c r="R111" i="1"/>
  <c r="P93" i="5"/>
  <c r="J93" i="5"/>
  <c r="J169" i="5"/>
  <c r="P169" i="5"/>
  <c r="CZ153" i="1"/>
  <c r="Y153" i="1" s="1"/>
  <c r="T185" i="5" s="1"/>
  <c r="K188" i="5" s="1"/>
  <c r="K186" i="5"/>
  <c r="CY153" i="1"/>
  <c r="X153" i="1" s="1"/>
  <c r="R185" i="5" s="1"/>
  <c r="K187" i="5" s="1"/>
  <c r="V70" i="5"/>
  <c r="O104" i="5"/>
  <c r="W97" i="5"/>
  <c r="H104" i="5"/>
  <c r="Y104" i="5"/>
  <c r="H153" i="5"/>
  <c r="W148" i="5"/>
  <c r="Y153" i="5"/>
  <c r="O153" i="5"/>
  <c r="W193" i="5"/>
  <c r="AA197" i="5"/>
  <c r="O197" i="5"/>
  <c r="H197" i="5"/>
  <c r="P204" i="5"/>
  <c r="J204" i="5"/>
  <c r="R157" i="1"/>
  <c r="GK157" i="1" s="1"/>
  <c r="V213" i="5"/>
  <c r="R151" i="1"/>
  <c r="V171" i="5"/>
  <c r="AJ68" i="1"/>
  <c r="W74" i="1"/>
  <c r="AD68" i="1"/>
  <c r="Q74" i="1"/>
  <c r="AD148" i="1"/>
  <c r="Q159" i="1"/>
  <c r="CY72" i="1"/>
  <c r="X72" i="1" s="1"/>
  <c r="R106" i="5" s="1"/>
  <c r="CZ72" i="1"/>
  <c r="Y72" i="1" s="1"/>
  <c r="T106" i="5" s="1"/>
  <c r="CB148" i="1"/>
  <c r="AS159" i="1"/>
  <c r="AX116" i="1"/>
  <c r="CG106" i="1"/>
  <c r="CI116" i="1"/>
  <c r="BY106" i="1"/>
  <c r="AP116" i="1"/>
  <c r="S116" i="1"/>
  <c r="AF106" i="1"/>
  <c r="BB26" i="1"/>
  <c r="F49" i="1"/>
  <c r="BB189" i="1"/>
  <c r="AQ68" i="1"/>
  <c r="F84" i="1"/>
  <c r="BC68" i="1"/>
  <c r="F90" i="1"/>
  <c r="BC189" i="1"/>
  <c r="GM110" i="1"/>
  <c r="AL159" i="1"/>
  <c r="F61" i="1"/>
  <c r="BD26" i="1"/>
  <c r="BD189" i="1"/>
  <c r="AQ26" i="1"/>
  <c r="F46" i="1"/>
  <c r="AI68" i="1"/>
  <c r="V74" i="1"/>
  <c r="AC159" i="1"/>
  <c r="AC106" i="1"/>
  <c r="CH116" i="1"/>
  <c r="CF116" i="1"/>
  <c r="P116" i="1"/>
  <c r="CE116" i="1"/>
  <c r="AK116" i="1"/>
  <c r="GN112" i="1"/>
  <c r="CB116" i="1" s="1"/>
  <c r="GM112" i="1"/>
  <c r="CG68" i="1"/>
  <c r="AX74" i="1"/>
  <c r="GM155" i="1"/>
  <c r="GP155" i="1"/>
  <c r="S159" i="1"/>
  <c r="AF148" i="1"/>
  <c r="S33" i="1"/>
  <c r="I34" i="1"/>
  <c r="U33" i="1"/>
  <c r="CX13" i="3"/>
  <c r="R33" i="1"/>
  <c r="GP154" i="1"/>
  <c r="GM154" i="1"/>
  <c r="CJ106" i="1"/>
  <c r="BA116" i="1"/>
  <c r="AC74" i="1"/>
  <c r="BY148" i="1"/>
  <c r="AP159" i="1"/>
  <c r="CI159" i="1"/>
  <c r="CY71" i="1"/>
  <c r="X71" i="1" s="1"/>
  <c r="R95" i="5" s="1"/>
  <c r="K100" i="5" s="1"/>
  <c r="CZ71" i="1"/>
  <c r="Y71" i="1" s="1"/>
  <c r="GO70" i="1"/>
  <c r="GM70" i="1"/>
  <c r="GP156" i="1"/>
  <c r="GM156" i="1"/>
  <c r="BB148" i="1"/>
  <c r="F172" i="1"/>
  <c r="T72" i="1"/>
  <c r="AG74" i="1" s="1"/>
  <c r="P33" i="1"/>
  <c r="CJ148" i="1"/>
  <c r="BA159" i="1"/>
  <c r="GM152" i="1"/>
  <c r="GP152" i="1"/>
  <c r="CG148" i="1"/>
  <c r="AX159" i="1"/>
  <c r="AJ148" i="1"/>
  <c r="W159" i="1"/>
  <c r="AO106" i="1"/>
  <c r="F120" i="1"/>
  <c r="GM114" i="1"/>
  <c r="F78" i="1"/>
  <c r="AO68" i="1"/>
  <c r="AG106" i="1"/>
  <c r="T116" i="1"/>
  <c r="AB116" i="1"/>
  <c r="T159" i="1"/>
  <c r="AG148" i="1"/>
  <c r="AO26" i="1"/>
  <c r="F40" i="1"/>
  <c r="AO189" i="1"/>
  <c r="CI26" i="1"/>
  <c r="AZ36" i="1"/>
  <c r="CG26" i="1"/>
  <c r="AX36" i="1"/>
  <c r="CP31" i="1"/>
  <c r="O31" i="1" s="1"/>
  <c r="K56" i="5" s="1"/>
  <c r="CP71" i="1"/>
  <c r="O71" i="1" s="1"/>
  <c r="F45" i="1"/>
  <c r="AP26" i="1"/>
  <c r="Q33" i="1"/>
  <c r="K71" i="5" s="1"/>
  <c r="AH68" i="1"/>
  <c r="U74" i="1"/>
  <c r="AI106" i="1"/>
  <c r="V116" i="1"/>
  <c r="GX72" i="1"/>
  <c r="CJ74" i="1" s="1"/>
  <c r="T33" i="1"/>
  <c r="BD106" i="1"/>
  <c r="F141" i="1"/>
  <c r="AT148" i="1"/>
  <c r="F177" i="1"/>
  <c r="AO148" i="1"/>
  <c r="F163" i="1"/>
  <c r="CP153" i="1"/>
  <c r="O153" i="1" s="1"/>
  <c r="AB159" i="1" s="1"/>
  <c r="AJ106" i="1"/>
  <c r="W116" i="1"/>
  <c r="U106" i="1"/>
  <c r="F138" i="1"/>
  <c r="GO113" i="1"/>
  <c r="GM113" i="1"/>
  <c r="AD106" i="1"/>
  <c r="Q116" i="1"/>
  <c r="AU116" i="1"/>
  <c r="CD106" i="1"/>
  <c r="GM150" i="1"/>
  <c r="GP150" i="1"/>
  <c r="GM157" i="1"/>
  <c r="AI148" i="1"/>
  <c r="V159" i="1"/>
  <c r="AH148" i="1"/>
  <c r="U159" i="1"/>
  <c r="GX33" i="1"/>
  <c r="BZ106" i="1"/>
  <c r="AQ116" i="1"/>
  <c r="CC26" i="1"/>
  <c r="AT36" i="1"/>
  <c r="AF74" i="1"/>
  <c r="R72" i="1"/>
  <c r="BD148" i="1"/>
  <c r="F184" i="1"/>
  <c r="AU68" i="1"/>
  <c r="F93" i="1"/>
  <c r="AQ148" i="1"/>
  <c r="F169" i="1"/>
  <c r="J159" i="5" l="1"/>
  <c r="I26" i="5"/>
  <c r="Y116" i="1"/>
  <c r="J221" i="5"/>
  <c r="GK111" i="1"/>
  <c r="K135" i="5"/>
  <c r="J49" i="5"/>
  <c r="K66" i="5"/>
  <c r="GK32" i="1"/>
  <c r="X61" i="5"/>
  <c r="I22" i="5" s="1"/>
  <c r="H110" i="5"/>
  <c r="H159" i="5"/>
  <c r="AA72" i="5"/>
  <c r="O72" i="5"/>
  <c r="H72" i="5"/>
  <c r="GK151" i="1"/>
  <c r="AE159" i="1"/>
  <c r="K120" i="5"/>
  <c r="AE116" i="1"/>
  <c r="GK109" i="1"/>
  <c r="J68" i="5"/>
  <c r="J72" i="5"/>
  <c r="P72" i="5"/>
  <c r="AP189" i="1"/>
  <c r="F198" i="1" s="1"/>
  <c r="G16" i="2" s="1"/>
  <c r="G18" i="2" s="1"/>
  <c r="J141" i="5"/>
  <c r="P141" i="5"/>
  <c r="H221" i="5"/>
  <c r="CI68" i="1"/>
  <c r="AZ74" i="1"/>
  <c r="P107" i="5"/>
  <c r="J107" i="5"/>
  <c r="K59" i="5"/>
  <c r="AL74" i="1"/>
  <c r="Y74" i="1" s="1"/>
  <c r="T95" i="5"/>
  <c r="K101" i="5" s="1"/>
  <c r="P104" i="5" s="1"/>
  <c r="J110" i="5"/>
  <c r="K44" i="5"/>
  <c r="GK29" i="1"/>
  <c r="GM29" i="1" s="1"/>
  <c r="Q34" i="1"/>
  <c r="K75" i="5" s="1"/>
  <c r="E74" i="5"/>
  <c r="U74" i="5"/>
  <c r="I75" i="5"/>
  <c r="Q74" i="5"/>
  <c r="S74" i="5"/>
  <c r="V74" i="5"/>
  <c r="GP157" i="1"/>
  <c r="GO114" i="1"/>
  <c r="AK74" i="1"/>
  <c r="AK68" i="1" s="1"/>
  <c r="AK159" i="1"/>
  <c r="GN29" i="1"/>
  <c r="P190" i="5"/>
  <c r="J190" i="5"/>
  <c r="P218" i="5"/>
  <c r="J218" i="5"/>
  <c r="F83" i="1"/>
  <c r="AP68" i="1"/>
  <c r="I23" i="5"/>
  <c r="K54" i="5"/>
  <c r="GK30" i="1"/>
  <c r="AL68" i="1"/>
  <c r="AB148" i="1"/>
  <c r="O159" i="1"/>
  <c r="AP22" i="1"/>
  <c r="AP221" i="1"/>
  <c r="O116" i="1"/>
  <c r="AB106" i="1"/>
  <c r="F131" i="1"/>
  <c r="S106" i="1"/>
  <c r="S74" i="1"/>
  <c r="AF68" i="1"/>
  <c r="U148" i="1"/>
  <c r="F181" i="1"/>
  <c r="F47" i="1"/>
  <c r="AZ26" i="1"/>
  <c r="AZ159" i="1"/>
  <c r="CI148" i="1"/>
  <c r="GK33" i="1"/>
  <c r="V68" i="1"/>
  <c r="F97" i="1"/>
  <c r="AL148" i="1"/>
  <c r="Y159" i="1"/>
  <c r="AS148" i="1"/>
  <c r="F176" i="1"/>
  <c r="Q148" i="1"/>
  <c r="F171" i="1"/>
  <c r="AT26" i="1"/>
  <c r="F54" i="1"/>
  <c r="AP148" i="1"/>
  <c r="F168" i="1"/>
  <c r="Y106" i="1"/>
  <c r="F143" i="1"/>
  <c r="AX68" i="1"/>
  <c r="F81" i="1"/>
  <c r="AV116" i="1"/>
  <c r="CE106" i="1"/>
  <c r="V106" i="1"/>
  <c r="F139" i="1"/>
  <c r="Q68" i="1"/>
  <c r="F86" i="1"/>
  <c r="X74" i="1"/>
  <c r="CY33" i="1"/>
  <c r="X33" i="1" s="1"/>
  <c r="R70" i="5" s="1"/>
  <c r="CZ33" i="1"/>
  <c r="Y33" i="1" s="1"/>
  <c r="T70" i="5" s="1"/>
  <c r="AW116" i="1"/>
  <c r="CF106" i="1"/>
  <c r="GN31" i="1"/>
  <c r="GM31" i="1"/>
  <c r="W148" i="1"/>
  <c r="F183" i="1"/>
  <c r="CB106" i="1"/>
  <c r="AS116" i="1"/>
  <c r="CH106" i="1"/>
  <c r="AY116" i="1"/>
  <c r="BD22" i="1"/>
  <c r="F214" i="1"/>
  <c r="BD221" i="1"/>
  <c r="CI106" i="1"/>
  <c r="AZ116" i="1"/>
  <c r="BA74" i="1"/>
  <c r="CJ68" i="1"/>
  <c r="AQ106" i="1"/>
  <c r="F126" i="1"/>
  <c r="T106" i="1"/>
  <c r="F137" i="1"/>
  <c r="CE74" i="1"/>
  <c r="CF74" i="1"/>
  <c r="P74" i="1"/>
  <c r="AC68" i="1"/>
  <c r="CH74" i="1"/>
  <c r="AQ189" i="1"/>
  <c r="AP106" i="1"/>
  <c r="F125" i="1"/>
  <c r="F136" i="1"/>
  <c r="BA106" i="1"/>
  <c r="F96" i="1"/>
  <c r="U68" i="1"/>
  <c r="CP33" i="1"/>
  <c r="O33" i="1" s="1"/>
  <c r="AU106" i="1"/>
  <c r="F135" i="1"/>
  <c r="F43" i="1"/>
  <c r="AX189" i="1"/>
  <c r="AX26" i="1"/>
  <c r="T74" i="1"/>
  <c r="AG68" i="1"/>
  <c r="S148" i="1"/>
  <c r="F174" i="1"/>
  <c r="AK148" i="1"/>
  <c r="X159" i="1"/>
  <c r="BC22" i="1"/>
  <c r="F205" i="1"/>
  <c r="BC221" i="1"/>
  <c r="BB22" i="1"/>
  <c r="BB221" i="1"/>
  <c r="F202" i="1"/>
  <c r="W68" i="1"/>
  <c r="F98" i="1"/>
  <c r="V148" i="1"/>
  <c r="F182" i="1"/>
  <c r="GM153" i="1"/>
  <c r="GP153" i="1"/>
  <c r="AO22" i="1"/>
  <c r="F193" i="1"/>
  <c r="AO221" i="1"/>
  <c r="GM71" i="1"/>
  <c r="GO71" i="1"/>
  <c r="CC74" i="1" s="1"/>
  <c r="BA148" i="1"/>
  <c r="F179" i="1"/>
  <c r="CX14" i="3"/>
  <c r="W34" i="1"/>
  <c r="AJ36" i="1" s="1"/>
  <c r="S34" i="1"/>
  <c r="AF36" i="1" s="1"/>
  <c r="T34" i="1"/>
  <c r="AG36" i="1" s="1"/>
  <c r="U34" i="1"/>
  <c r="AH36" i="1" s="1"/>
  <c r="R34" i="1"/>
  <c r="GK34" i="1" s="1"/>
  <c r="P34" i="1"/>
  <c r="V34" i="1"/>
  <c r="AI36" i="1" s="1"/>
  <c r="GX34" i="1"/>
  <c r="CJ36" i="1" s="1"/>
  <c r="P106" i="1"/>
  <c r="F119" i="1"/>
  <c r="AB74" i="1"/>
  <c r="F140" i="1"/>
  <c r="W106" i="1"/>
  <c r="GK72" i="1"/>
  <c r="GN72" i="1" s="1"/>
  <c r="CB74" i="1" s="1"/>
  <c r="AE74" i="1"/>
  <c r="Q106" i="1"/>
  <c r="F128" i="1"/>
  <c r="AD36" i="1"/>
  <c r="T148" i="1"/>
  <c r="F180" i="1"/>
  <c r="F166" i="1"/>
  <c r="AX148" i="1"/>
  <c r="AK106" i="1"/>
  <c r="X116" i="1"/>
  <c r="AC148" i="1"/>
  <c r="P159" i="1"/>
  <c r="CE159" i="1"/>
  <c r="CF159" i="1"/>
  <c r="CH159" i="1"/>
  <c r="AX106" i="1"/>
  <c r="F123" i="1"/>
  <c r="GO109" i="1" l="1"/>
  <c r="GM109" i="1"/>
  <c r="GM151" i="1"/>
  <c r="CA159" i="1" s="1"/>
  <c r="GP151" i="1"/>
  <c r="CD159" i="1" s="1"/>
  <c r="GN30" i="1"/>
  <c r="CB36" i="1" s="1"/>
  <c r="CB26" i="1" s="1"/>
  <c r="GM30" i="1"/>
  <c r="J76" i="5"/>
  <c r="P76" i="5"/>
  <c r="R116" i="1"/>
  <c r="AE106" i="1"/>
  <c r="AA76" i="5"/>
  <c r="I25" i="5" s="1"/>
  <c r="O76" i="5"/>
  <c r="H225" i="5" s="1"/>
  <c r="H76" i="5"/>
  <c r="AZ68" i="1"/>
  <c r="F85" i="1"/>
  <c r="H79" i="5"/>
  <c r="J61" i="5"/>
  <c r="P61" i="5"/>
  <c r="AE148" i="1"/>
  <c r="R159" i="1"/>
  <c r="GM32" i="1"/>
  <c r="GN32" i="1"/>
  <c r="GO111" i="1"/>
  <c r="GM111" i="1"/>
  <c r="J104" i="5"/>
  <c r="AG26" i="1"/>
  <c r="T36" i="1"/>
  <c r="AS74" i="1"/>
  <c r="CB68" i="1"/>
  <c r="CJ26" i="1"/>
  <c r="BA36" i="1"/>
  <c r="CC68" i="1"/>
  <c r="AT74" i="1"/>
  <c r="U36" i="1"/>
  <c r="AH26" i="1"/>
  <c r="Y148" i="1"/>
  <c r="F186" i="1"/>
  <c r="CE148" i="1"/>
  <c r="AV159" i="1"/>
  <c r="AI26" i="1"/>
  <c r="V36" i="1"/>
  <c r="F124" i="1"/>
  <c r="AY106" i="1"/>
  <c r="AV106" i="1"/>
  <c r="F121" i="1"/>
  <c r="AP18" i="1"/>
  <c r="F230" i="1"/>
  <c r="J24" i="5" s="1"/>
  <c r="F162" i="1"/>
  <c r="P148" i="1"/>
  <c r="AD26" i="1"/>
  <c r="Q36" i="1"/>
  <c r="CP34" i="1"/>
  <c r="O34" i="1" s="1"/>
  <c r="AC36" i="1"/>
  <c r="BC18" i="1"/>
  <c r="F237" i="1"/>
  <c r="T68" i="1"/>
  <c r="F95" i="1"/>
  <c r="F77" i="1"/>
  <c r="P68" i="1"/>
  <c r="BA68" i="1"/>
  <c r="F94" i="1"/>
  <c r="F170" i="1"/>
  <c r="AZ148" i="1"/>
  <c r="F127" i="1"/>
  <c r="AZ106" i="1"/>
  <c r="F89" i="1"/>
  <c r="S68" i="1"/>
  <c r="X106" i="1"/>
  <c r="F142" i="1"/>
  <c r="AV74" i="1"/>
  <c r="CE68" i="1"/>
  <c r="F161" i="1"/>
  <c r="O148" i="1"/>
  <c r="CY34" i="1"/>
  <c r="X34" i="1" s="1"/>
  <c r="CZ34" i="1"/>
  <c r="Y34" i="1" s="1"/>
  <c r="GM72" i="1"/>
  <c r="CA74" i="1" s="1"/>
  <c r="BD18" i="1"/>
  <c r="F246" i="1"/>
  <c r="Y68" i="1"/>
  <c r="F101" i="1"/>
  <c r="CF68" i="1"/>
  <c r="AW74" i="1"/>
  <c r="AU159" i="1"/>
  <c r="CD148" i="1"/>
  <c r="AW106" i="1"/>
  <c r="F122" i="1"/>
  <c r="AE68" i="1"/>
  <c r="R74" i="1"/>
  <c r="AO18" i="1"/>
  <c r="F225" i="1"/>
  <c r="AF26" i="1"/>
  <c r="S36" i="1"/>
  <c r="CH148" i="1"/>
  <c r="AY159" i="1"/>
  <c r="AQ22" i="1"/>
  <c r="F199" i="1"/>
  <c r="AQ221" i="1"/>
  <c r="AE36" i="1"/>
  <c r="F118" i="1"/>
  <c r="O106" i="1"/>
  <c r="AS106" i="1"/>
  <c r="F133" i="1"/>
  <c r="AX22" i="1"/>
  <c r="F196" i="1"/>
  <c r="AX221" i="1"/>
  <c r="AB68" i="1"/>
  <c r="O74" i="1"/>
  <c r="X148" i="1"/>
  <c r="F185" i="1"/>
  <c r="AZ189" i="1"/>
  <c r="W36" i="1"/>
  <c r="AJ26" i="1"/>
  <c r="CF148" i="1"/>
  <c r="AW159" i="1"/>
  <c r="BB18" i="1"/>
  <c r="F234" i="1"/>
  <c r="GP33" i="1"/>
  <c r="GM33" i="1"/>
  <c r="CH68" i="1"/>
  <c r="AY74" i="1"/>
  <c r="X68" i="1"/>
  <c r="F100" i="1"/>
  <c r="AR159" i="1" l="1"/>
  <c r="CA148" i="1"/>
  <c r="R148" i="1"/>
  <c r="F173" i="1"/>
  <c r="AK36" i="1"/>
  <c r="R74" i="5"/>
  <c r="CA116" i="1"/>
  <c r="AL36" i="1"/>
  <c r="Y36" i="1" s="1"/>
  <c r="T74" i="5"/>
  <c r="AS36" i="1"/>
  <c r="J229" i="5"/>
  <c r="J225" i="5"/>
  <c r="J79" i="5"/>
  <c r="I21" i="5"/>
  <c r="H229" i="5"/>
  <c r="CC116" i="1"/>
  <c r="R106" i="1"/>
  <c r="F130" i="1"/>
  <c r="AK26" i="1"/>
  <c r="X36" i="1"/>
  <c r="CA68" i="1"/>
  <c r="AR74" i="1"/>
  <c r="R36" i="1"/>
  <c r="AE26" i="1"/>
  <c r="AU148" i="1"/>
  <c r="F178" i="1"/>
  <c r="GP34" i="1"/>
  <c r="CD36" i="1" s="1"/>
  <c r="GM34" i="1"/>
  <c r="CA36" i="1" s="1"/>
  <c r="BA26" i="1"/>
  <c r="F56" i="1"/>
  <c r="BA189" i="1"/>
  <c r="F80" i="1"/>
  <c r="AW68" i="1"/>
  <c r="Q26" i="1"/>
  <c r="F48" i="1"/>
  <c r="Q189" i="1"/>
  <c r="AR148" i="1"/>
  <c r="F187" i="1"/>
  <c r="F251" i="1" s="1"/>
  <c r="J233" i="5" s="1"/>
  <c r="O68" i="1"/>
  <c r="F76" i="1"/>
  <c r="AS26" i="1"/>
  <c r="F53" i="1"/>
  <c r="AS189" i="1"/>
  <c r="F59" i="1"/>
  <c r="V26" i="1"/>
  <c r="V189" i="1"/>
  <c r="U26" i="1"/>
  <c r="F58" i="1"/>
  <c r="U189" i="1"/>
  <c r="AS68" i="1"/>
  <c r="F91" i="1"/>
  <c r="AQ18" i="1"/>
  <c r="F231" i="1"/>
  <c r="F165" i="1"/>
  <c r="AW148" i="1"/>
  <c r="AY68" i="1"/>
  <c r="F82" i="1"/>
  <c r="AY148" i="1"/>
  <c r="F167" i="1"/>
  <c r="AV68" i="1"/>
  <c r="F79" i="1"/>
  <c r="AT68" i="1"/>
  <c r="F92" i="1"/>
  <c r="F57" i="1"/>
  <c r="T189" i="1"/>
  <c r="T26" i="1"/>
  <c r="AZ22" i="1"/>
  <c r="F200" i="1"/>
  <c r="AZ221" i="1"/>
  <c r="R68" i="1"/>
  <c r="F88" i="1"/>
  <c r="AB36" i="1"/>
  <c r="W26" i="1"/>
  <c r="F60" i="1"/>
  <c r="W189" i="1"/>
  <c r="AX18" i="1"/>
  <c r="F228" i="1"/>
  <c r="S26" i="1"/>
  <c r="F51" i="1"/>
  <c r="S189" i="1"/>
  <c r="AC26" i="1"/>
  <c r="CE36" i="1"/>
  <c r="CH36" i="1"/>
  <c r="P36" i="1"/>
  <c r="CF36" i="1"/>
  <c r="AV148" i="1"/>
  <c r="F164" i="1"/>
  <c r="AL26" i="1" l="1"/>
  <c r="CA106" i="1"/>
  <c r="AR116" i="1"/>
  <c r="CC106" i="1"/>
  <c r="AT116" i="1"/>
  <c r="CA26" i="1"/>
  <c r="AR36" i="1"/>
  <c r="AU36" i="1"/>
  <c r="CD26" i="1"/>
  <c r="V22" i="1"/>
  <c r="V221" i="1"/>
  <c r="F212" i="1"/>
  <c r="BA22" i="1"/>
  <c r="BA221" i="1"/>
  <c r="F209" i="1"/>
  <c r="F50" i="1"/>
  <c r="R26" i="1"/>
  <c r="R189" i="1"/>
  <c r="F39" i="1"/>
  <c r="P26" i="1"/>
  <c r="P189" i="1"/>
  <c r="CF26" i="1"/>
  <c r="AW36" i="1"/>
  <c r="W22" i="1"/>
  <c r="F213" i="1"/>
  <c r="W221" i="1"/>
  <c r="AS22" i="1"/>
  <c r="AS221" i="1"/>
  <c r="F206" i="1"/>
  <c r="E16" i="2" s="1"/>
  <c r="O36" i="1"/>
  <c r="AB26" i="1"/>
  <c r="U22" i="1"/>
  <c r="U221" i="1"/>
  <c r="F211" i="1"/>
  <c r="Q22" i="1"/>
  <c r="Q221" i="1"/>
  <c r="F201" i="1"/>
  <c r="Y26" i="1"/>
  <c r="F63" i="1"/>
  <c r="Y189" i="1"/>
  <c r="AZ18" i="1"/>
  <c r="F232" i="1"/>
  <c r="CH26" i="1"/>
  <c r="AY36" i="1"/>
  <c r="AR68" i="1"/>
  <c r="F102" i="1"/>
  <c r="CE26" i="1"/>
  <c r="AV36" i="1"/>
  <c r="T22" i="1"/>
  <c r="T221" i="1"/>
  <c r="F210" i="1"/>
  <c r="X26" i="1"/>
  <c r="F62" i="1"/>
  <c r="X189" i="1"/>
  <c r="F204" i="1"/>
  <c r="J16" i="2" s="1"/>
  <c r="J18" i="2" s="1"/>
  <c r="S22" i="1"/>
  <c r="S221" i="1"/>
  <c r="F144" i="1" l="1"/>
  <c r="AR106" i="1"/>
  <c r="AT106" i="1"/>
  <c r="F134" i="1"/>
  <c r="AT189" i="1"/>
  <c r="E18" i="2"/>
  <c r="P22" i="1"/>
  <c r="F192" i="1"/>
  <c r="P221" i="1"/>
  <c r="S18" i="1"/>
  <c r="F236" i="1"/>
  <c r="Q18" i="1"/>
  <c r="F233" i="1"/>
  <c r="AS18" i="1"/>
  <c r="F238" i="1"/>
  <c r="J22" i="5" s="1"/>
  <c r="R22" i="1"/>
  <c r="F203" i="1"/>
  <c r="R221" i="1"/>
  <c r="AU26" i="1"/>
  <c r="F55" i="1"/>
  <c r="AU189" i="1"/>
  <c r="T18" i="1"/>
  <c r="F242" i="1"/>
  <c r="Y22" i="1"/>
  <c r="F216" i="1"/>
  <c r="Y221" i="1"/>
  <c r="V18" i="1"/>
  <c r="F244" i="1"/>
  <c r="W18" i="1"/>
  <c r="F245" i="1"/>
  <c r="AY26" i="1"/>
  <c r="F44" i="1"/>
  <c r="AY189" i="1"/>
  <c r="AW26" i="1"/>
  <c r="F42" i="1"/>
  <c r="AW189" i="1"/>
  <c r="F64" i="1"/>
  <c r="AR26" i="1"/>
  <c r="AR189" i="1"/>
  <c r="AV26" i="1"/>
  <c r="F41" i="1"/>
  <c r="AV189" i="1"/>
  <c r="X22" i="1"/>
  <c r="X221" i="1"/>
  <c r="F215" i="1"/>
  <c r="U18" i="1"/>
  <c r="F243" i="1"/>
  <c r="O26" i="1"/>
  <c r="F38" i="1"/>
  <c r="O189" i="1"/>
  <c r="BA18" i="1"/>
  <c r="F241" i="1"/>
  <c r="AT22" i="1" l="1"/>
  <c r="AT221" i="1"/>
  <c r="F207" i="1"/>
  <c r="F16" i="2" s="1"/>
  <c r="F18" i="2" s="1"/>
  <c r="O22" i="1"/>
  <c r="F191" i="1"/>
  <c r="O221" i="1"/>
  <c r="AW22" i="1"/>
  <c r="F195" i="1"/>
  <c r="AW221" i="1"/>
  <c r="Y18" i="1"/>
  <c r="F248" i="1"/>
  <c r="AY22" i="1"/>
  <c r="AY221" i="1"/>
  <c r="F197" i="1"/>
  <c r="AR22" i="1"/>
  <c r="AR221" i="1"/>
  <c r="F217" i="1"/>
  <c r="X18" i="1"/>
  <c r="F247" i="1"/>
  <c r="AV22" i="1"/>
  <c r="AV221" i="1"/>
  <c r="F194" i="1"/>
  <c r="R18" i="1"/>
  <c r="F235" i="1"/>
  <c r="J26" i="5" s="1"/>
  <c r="P18" i="1"/>
  <c r="F224" i="1"/>
  <c r="AU22" i="1"/>
  <c r="F208" i="1"/>
  <c r="H16" i="2" s="1"/>
  <c r="AU221" i="1"/>
  <c r="F239" i="1" l="1"/>
  <c r="J23" i="5" s="1"/>
  <c r="AT18" i="1"/>
  <c r="O18" i="1"/>
  <c r="F223" i="1"/>
  <c r="AU18" i="1"/>
  <c r="F240" i="1"/>
  <c r="J25" i="5" s="1"/>
  <c r="AY18" i="1"/>
  <c r="F229" i="1"/>
  <c r="AW18" i="1"/>
  <c r="F227" i="1"/>
  <c r="AR18" i="1"/>
  <c r="F249" i="1"/>
  <c r="F250" i="1" s="1"/>
  <c r="AV18" i="1"/>
  <c r="F226" i="1"/>
  <c r="H18" i="2"/>
  <c r="I16" i="2"/>
  <c r="I18" i="2" s="1"/>
  <c r="F252" i="1" l="1"/>
  <c r="J234" i="5" s="1"/>
  <c r="J232" i="5"/>
  <c r="F253" i="1"/>
  <c r="J235" i="5" s="1"/>
  <c r="F254" i="1"/>
  <c r="J236" i="5" l="1"/>
  <c r="J21" i="5"/>
</calcChain>
</file>

<file path=xl/sharedStrings.xml><?xml version="1.0" encoding="utf-8"?>
<sst xmlns="http://schemas.openxmlformats.org/spreadsheetml/2006/main" count="2218" uniqueCount="286">
  <si>
    <t>Smeta.RU  (495) 974-1589</t>
  </si>
  <si>
    <t>_PS_</t>
  </si>
  <si>
    <t>Smeta.RU</t>
  </si>
  <si>
    <t/>
  </si>
  <si>
    <t>1</t>
  </si>
  <si>
    <t>г. Москва, МКАД_(01.10.2020)</t>
  </si>
  <si>
    <t>Сметные нормы списания</t>
  </si>
  <si>
    <t>Коды ОКП для ТСН-2001 МГЭ</t>
  </si>
  <si>
    <t>ТСН-2001 (МГЭ) - Новое строительство</t>
  </si>
  <si>
    <t>Типовой расчет для ТСН-2001 МГЭ (Строительство), Доп 48</t>
  </si>
  <si>
    <t>Территориальные сметные нормативы для Москвы ТСН-2001 (МГЭ)</t>
  </si>
  <si>
    <t>Поправки для ТСН-2001 от 15.07.2020 г. доп.57</t>
  </si>
  <si>
    <t>Замена силового трансформатора ТМГ 1000\10\0,4 кВ</t>
  </si>
  <si>
    <t>Строительные работы</t>
  </si>
  <si>
    <t>ремонт  трансформаторной камеры</t>
  </si>
  <si>
    <t>3.8-1-3</t>
  </si>
  <si>
    <t>Устройство гравийного основания под фундаменты</t>
  </si>
  <si>
    <t>1 м3 основания</t>
  </si>
  <si>
    <t>ТСН-2001.3. Доп. 1-42. Сб. 8, т. 1, поз. 3</t>
  </si>
  <si>
    <t>Поправка: ТСН-2001.6. О.П. п.23.1  Наименование: Демонтаж. Сборных железобетонных и бетонных конструкций</t>
  </si>
  <si>
    <t>)*0</t>
  </si>
  <si>
    <t>)*0,8</t>
  </si>
  <si>
    <t>ТСН-2001.3-8. 8-1</t>
  </si>
  <si>
    <t>ТСН-2001.3-8-1</t>
  </si>
  <si>
    <t>Поправка: ТСН-2001.6. О.П. п.23.1</t>
  </si>
  <si>
    <t>2</t>
  </si>
  <si>
    <t>2,1</t>
  </si>
  <si>
    <t>1.1-1-155</t>
  </si>
  <si>
    <t>Гравий фракционированный, фракция 5-20 мм</t>
  </si>
  <si>
    <t>м3</t>
  </si>
  <si>
    <t>ТСН-2001.1. Доп. 1-42. Р. 1, о. 1, поз. 155</t>
  </si>
  <si>
    <t>3</t>
  </si>
  <si>
    <t>6.68-13-1</t>
  </si>
  <si>
    <t>Механизированная погрузка строительного мусора в автомобили-самосвалы</t>
  </si>
  <si>
    <t>1 Т</t>
  </si>
  <si>
    <t>ТСН-2001.6. Доп. 1-42. Сб. 68, т. 13, поз. 1</t>
  </si>
  <si>
    <t>Ремонтно-строительные работы</t>
  </si>
  <si>
    <t>ТСН-2001.6-68. 68-13</t>
  </si>
  <si>
    <t>ТСН-2001.6-68-5</t>
  </si>
  <si>
    <t>4</t>
  </si>
  <si>
    <t>15.2-37-8</t>
  </si>
  <si>
    <t>Перевозка грунтов дисперсных связных на расстояние до 37 км автосамосвалами грузоподъемностью до 20 т</t>
  </si>
  <si>
    <t>т</t>
  </si>
  <si>
    <t>ТСН-2001.15 Доп. 54, Сб. 2, т. 37, поз. 8</t>
  </si>
  <si>
    <t>Транспортные затраты</t>
  </si>
  <si>
    <t>ТСН-2001.15-1. Перевозка грунта</t>
  </si>
  <si>
    <t>ТСН-2001.15-1-3</t>
  </si>
  <si>
    <t>5</t>
  </si>
  <si>
    <t>15.1-1102-01</t>
  </si>
  <si>
    <t>Отходы грунта при проведении открытых земляных работ практически неопасные</t>
  </si>
  <si>
    <t>ТСН-2001.15 Доп. 56, Сб. 1, т. 1102, поз. 1</t>
  </si>
  <si>
    <t>ТСН-2001.15-1. Перевозка строительного мусора</t>
  </si>
  <si>
    <t>ТСН-2001.15-1-5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</si>
  <si>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</si>
  <si>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</si>
  <si>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</si>
  <si>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</si>
  <si>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</si>
  <si>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</si>
  <si>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</si>
  <si>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</si>
  <si>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</si>
  <si>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</si>
  <si>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</si>
  <si>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</si>
  <si>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</si>
  <si>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</si>
  <si>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</si>
  <si>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</si>
  <si>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</si>
  <si>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</si>
  <si>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</si>
  <si>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</si>
  <si>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</si>
  <si>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</si>
  <si>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</si>
  <si>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</si>
  <si>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</si>
  <si>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</si>
  <si>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</si>
  <si>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</si>
  <si>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</si>
  <si>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</si>
  <si>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</si>
  <si>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</si>
  <si>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</si>
  <si>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</si>
  <si>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</si>
  <si>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</si>
  <si>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</si>
  <si>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</si>
  <si>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</si>
  <si>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</si>
  <si>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</si>
  <si>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</si>
  <si>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</si>
  <si>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</si>
  <si>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</si>
  <si>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</si>
  <si>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</si>
  <si>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</si>
  <si>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</si>
  <si>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</si>
  <si>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</si>
  <si>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</si>
  <si>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</si>
  <si>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</si>
  <si>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Демонтажные работы</t>
  </si>
  <si>
    <t>6</t>
  </si>
  <si>
    <t>4.8-42-3</t>
  </si>
  <si>
    <t>Трансформаторы, автотрансформаторы и реакторы, трансформатор силовой, автотрансформатор или масляный реактор, масса до 7 т</t>
  </si>
  <si>
    <t>1  ШТ.</t>
  </si>
  <si>
    <t>ТСН-2001.4. Доп. 1-42. Сб. 8, т. 42, поз. 3</t>
  </si>
  <si>
    <t>Монтаж оборудования</t>
  </si>
  <si>
    <t>ТСН-2001.4-8. 8-28...8-72</t>
  </si>
  <si>
    <t>ТСН-2001.4-8-2</t>
  </si>
  <si>
    <t>7</t>
  </si>
  <si>
    <t>4.8-120-1</t>
  </si>
  <si>
    <t>Доставка трансформатора к месту утилизации (прим.)</t>
  </si>
  <si>
    <t>ТСН-2001.4. Доп. 1-42. Сб. 8, т. 120, поз. 1</t>
  </si>
  <si>
    <t>ТСН-2001.4-8. 8-109...8-138</t>
  </si>
  <si>
    <t>ТСН-2001.4-8-11</t>
  </si>
  <si>
    <t>8</t>
  </si>
  <si>
    <t>счёт</t>
  </si>
  <si>
    <t>Утилизация трансформатора</t>
  </si>
  <si>
    <t>Приказ №МКЭ-ОД/20-18 от 25.03.2020  г.</t>
  </si>
  <si>
    <t>Материалы</t>
  </si>
  <si>
    <t>Материалы, изделия и конструкции</t>
  </si>
  <si>
    <t>[68 000 / 1,2 /  5,58] +  2% Заг.скл</t>
  </si>
  <si>
    <t>Монтажные работы</t>
  </si>
  <si>
    <t>монтаж трансформатора</t>
  </si>
  <si>
    <t>9</t>
  </si>
  <si>
    <t>10</t>
  </si>
  <si>
    <t>Трансформатор ТМГ-630\10\0,4 кВ с пробивным предохранителем</t>
  </si>
  <si>
    <t>шт.</t>
  </si>
  <si>
    <t>Сметная стоимость оборудования</t>
  </si>
  <si>
    <t>ТСН-2001.13-1.</t>
  </si>
  <si>
    <t>ТСН-2001.13-1-1</t>
  </si>
  <si>
    <t>[409 000 / 1,2 /  4,56] +  3% Трансп +  1,2% Заг.скл</t>
  </si>
  <si>
    <t>11</t>
  </si>
  <si>
    <t>4.8-47-1</t>
  </si>
  <si>
    <t>Шины сборные - одна полоса в фазе, шина, сечение до 250 мм2</t>
  </si>
  <si>
    <t>100 м</t>
  </si>
  <si>
    <t>ТСН-2001.4. Доп. 1-42. Сб. 8, т. 47, поз. 1</t>
  </si>
  <si>
    <t>12</t>
  </si>
  <si>
    <t>Шина алюминиевая 40х4</t>
  </si>
  <si>
    <t>м</t>
  </si>
  <si>
    <t>13</t>
  </si>
  <si>
    <t>4.8-90-7</t>
  </si>
  <si>
    <t>Заделки концевые в резиновой перчатке, заделка для кабелей напряжением до 10 кВ, сечение до 120 мм2</t>
  </si>
  <si>
    <t>ТСН-2001.4. Доп. 1-42. Сб. 8, т. 90, поз. 7</t>
  </si>
  <si>
    <t>ТСН-2001.4-8. 8-84...8-94</t>
  </si>
  <si>
    <t>ТСН-2001.4-8-5</t>
  </si>
  <si>
    <t>14</t>
  </si>
  <si>
    <t>1.21-5-507</t>
  </si>
  <si>
    <t>Муфта концевая, внутренней установки, для кабеля с бумажной изоляцией и общей оболочкой, 3-жильного, номинальное напряжение 6 кВ, 10 кВ, сечение жил от 70 до 120 мм2, свободная длина 450 мм</t>
  </si>
  <si>
    <t>КОМПЛЕКТ</t>
  </si>
  <si>
    <t>ТСН-2001.1 Доп. 54, Р. 21, о. 5, поз. 507</t>
  </si>
  <si>
    <t>Материалы монтажные</t>
  </si>
  <si>
    <t>ТСН-2001.1 Материалы монтажные</t>
  </si>
  <si>
    <t>ТСН-2001.1-2</t>
  </si>
  <si>
    <t>Пусконаладочные работы</t>
  </si>
  <si>
    <t>15</t>
  </si>
  <si>
    <t>5.1-14-4</t>
  </si>
  <si>
    <t>Трансформаторы и реакторы сухие, трансформатор трехфазный напряжением до 11 кВ</t>
  </si>
  <si>
    <t>ТСН-2001.5. Доп. 1-42. Сб. 1, т. 14, поз. 4</t>
  </si>
  <si>
    <t>ТСН-2001.5-1. 1-1...1-189</t>
  </si>
  <si>
    <t>ТСН-2001.5-1-1</t>
  </si>
  <si>
    <t>16</t>
  </si>
  <si>
    <t>5.1-17-7</t>
  </si>
  <si>
    <t>Трансформатор встроенный во вводы масляного выключателя и силового трансформатора</t>
  </si>
  <si>
    <t>ТСН-2001.5. Доп. 1-42. Сб. 1, т. 17, поз. 7</t>
  </si>
  <si>
    <t>17</t>
  </si>
  <si>
    <t>5.1-158-1</t>
  </si>
  <si>
    <t>Фазировка электрической линии или трансформатора с сетью напряжением до 1 кВ</t>
  </si>
  <si>
    <t>1 фазировка</t>
  </si>
  <si>
    <t>ТСН-2001.5. Доп. 1-42. Сб. 1, т. 158, поз. 1</t>
  </si>
  <si>
    <t>18</t>
  </si>
  <si>
    <t>5.1-158-2</t>
  </si>
  <si>
    <t>Фазировка электрической линии или трансформатора с сетью напряжением свыше 1 кВ</t>
  </si>
  <si>
    <t>ТСН-2001.5. Доп. 1-42. Сб. 1, т. 158, поз. 2</t>
  </si>
  <si>
    <t>19</t>
  </si>
  <si>
    <t>5.1-162-1</t>
  </si>
  <si>
    <t>Измерение сопротивления изоляции мегаомметром кабельных и других линий напряжением до 1 кВ, предназначенных для передачи электроэнергии к распределительным устройствам, щитам, шкафам и коммутационным аппаратам</t>
  </si>
  <si>
    <t>1 измерение</t>
  </si>
  <si>
    <t>ТСН-2001.5. Доп. 1-42. Сб. 1, т. 162, поз. 1</t>
  </si>
  <si>
    <t>Поправка: ТСН-2001.5-1. о11. п.8.4.2  Наименование: Пусконаладочные работы по измерению сопротивления изоляции четырехпроводной линии</t>
  </si>
  <si>
    <t>)*1,3</t>
  </si>
  <si>
    <t>Поправка: ТСН-2001.5-1. о11. п.8.4.2</t>
  </si>
  <si>
    <t>20</t>
  </si>
  <si>
    <t>5.1-167-1</t>
  </si>
  <si>
    <t>Обмотка трансформатора силового</t>
  </si>
  <si>
    <t>1 испытание</t>
  </si>
  <si>
    <t>ТСН-2001.5. Доп. 1-42. Сб. 1, т. 167, поз. 1</t>
  </si>
  <si>
    <t>21</t>
  </si>
  <si>
    <t>5.1-173-1</t>
  </si>
  <si>
    <t>Ввод и проходной изолятор с фарфоровой жидкой или бумажной изоляцией (до установки на оборудование)</t>
  </si>
  <si>
    <t>ТСН-2001.5. Доп. 1-42. Сб. 1, т. 173, поз. 1</t>
  </si>
  <si>
    <t>22</t>
  </si>
  <si>
    <t>5.1-177-1</t>
  </si>
  <si>
    <t>Вторичные цепи, цепи вторичной коммутации</t>
  </si>
  <si>
    <t>ТСН-2001.5. Доп. 1-42. Сб. 1, т. 177, поз. 1</t>
  </si>
  <si>
    <t>кол.лин</t>
  </si>
  <si>
    <t>Итого</t>
  </si>
  <si>
    <t>тех. часть  ТСН-2001.5-1 п. 8.1. Составление технического отчета до 1,5 % стоимости выполненных пусконаладочных работ</t>
  </si>
  <si>
    <t>Итого с составлением технического отчета</t>
  </si>
  <si>
    <t>НДС 20%</t>
  </si>
  <si>
    <t>Итого с НДС</t>
  </si>
  <si>
    <t>Уровень цен</t>
  </si>
  <si>
    <t>Сборник индексов</t>
  </si>
  <si>
    <t>Коэффициенты к ТСН-2001 МГЭ</t>
  </si>
  <si>
    <t>167</t>
  </si>
  <si>
    <t>_OBSM_</t>
  </si>
  <si>
    <t>9999990008</t>
  </si>
  <si>
    <t>Трудозатраты рабочих</t>
  </si>
  <si>
    <t>чел.-ч.</t>
  </si>
  <si>
    <t>2.1-10-4</t>
  </si>
  <si>
    <t>ТСН-2001.2. Доп. 46. п.1-10-4 (101001)</t>
  </si>
  <si>
    <t>Компрессоры прицепные с двигателем внутреннего сгорания, производительность до 2,5 м3/мин, мощность двигателя до 23 кВт (31,3 л.с.)</t>
  </si>
  <si>
    <t>маш.-ч.</t>
  </si>
  <si>
    <t>2.1-30-1</t>
  </si>
  <si>
    <t>ТСН-2001.2. Доп. 1-42, п. 1-30-1 (301201)</t>
  </si>
  <si>
    <t>Трамбовки пневматические</t>
  </si>
  <si>
    <t>2.1-4-3</t>
  </si>
  <si>
    <t>ТСН-2001.2. Доп. 1-42, п. 1-4-3 (040103)</t>
  </si>
  <si>
    <t>Погрузчики универсальные на пневмоколесном ходу, грузоподъемность до 3 т</t>
  </si>
  <si>
    <t>1.1-1-118</t>
  </si>
  <si>
    <t>ТСН-2001.1. Доп. 1-42. Р. 1, о. 1, поз. 118</t>
  </si>
  <si>
    <t>Вода</t>
  </si>
  <si>
    <t>9999990007</t>
  </si>
  <si>
    <t>Стоимость прочих машин (ЭСН)</t>
  </si>
  <si>
    <t>руб.</t>
  </si>
  <si>
    <t>2.1-18-39</t>
  </si>
  <si>
    <t>ТСН-2001.2. Доп. 43, п. 1-18-39 (184052)</t>
  </si>
  <si>
    <t>Автомобили-самосвалы для перевозки грунта, грузоподъемность до 14 т</t>
  </si>
  <si>
    <t>5711200000</t>
  </si>
  <si>
    <t>Гравий</t>
  </si>
  <si>
    <t>"СОГЛАСОВАНО"</t>
  </si>
  <si>
    <t>"УТВЕРЖДАЮ"</t>
  </si>
  <si>
    <t>Форма № 4б</t>
  </si>
  <si>
    <t>"_____"________________ 2020 г.</t>
  </si>
  <si>
    <t>(наименование стройки и/или объекта)</t>
  </si>
  <si>
    <t>(наименование работ и затрат)</t>
  </si>
  <si>
    <t>В базисном уровне цен</t>
  </si>
  <si>
    <t>В текущем уровне цен</t>
  </si>
  <si>
    <t>Сметная стоимость</t>
  </si>
  <si>
    <t>Работы по монтажу оборудования</t>
  </si>
  <si>
    <t>Оборудование</t>
  </si>
  <si>
    <t>Прочие работы и затраты</t>
  </si>
  <si>
    <t>Средства на оплату труда</t>
  </si>
  <si>
    <t>Затраты труда</t>
  </si>
  <si>
    <t xml:space="preserve">Кроме того: </t>
  </si>
  <si>
    <t>№ п/п</t>
  </si>
  <si>
    <t>Шифр расценки и коды ресурсов</t>
  </si>
  <si>
    <t>Наименование работ и затрат</t>
  </si>
  <si>
    <t>Ед. изм.</t>
  </si>
  <si>
    <t>Кол-во единиц</t>
  </si>
  <si>
    <t>Цена на ед. изм., руб.</t>
  </si>
  <si>
    <t>Попра-вочные коэффи-
циенты</t>
  </si>
  <si>
    <t>Коэффи-циенты зимних удорожа-ний</t>
  </si>
  <si>
    <t>Всего затрат в базисном уровне цен, руб.</t>
  </si>
  <si>
    <t>Коэффици-енты (индексы) пересчета, нормы НР и СП</t>
  </si>
  <si>
    <t>ВСЕГО затрат в текущем уровне цен, руб.</t>
  </si>
  <si>
    <t>Составлен(а) по ТСН-2001 с учетом Дополнения №: 57</t>
  </si>
  <si>
    <t>№ и период сборника коэффициентов (индексов) пересчета: Коэффициенты к ТСН-2001 МГЭ №167 август 2020 года</t>
  </si>
  <si>
    <r>
      <t>Устройство гравийного основания под фундаменты</t>
    </r>
    <r>
      <rPr>
        <i/>
        <sz val="10"/>
        <rFont val="Arial"/>
        <family val="2"/>
        <charset val="204"/>
      </rPr>
      <t xml:space="preserve">
Поправка: ТСН-2001.6. О.П. п.23.1  Наименование: Демонтаж. Сборных железобетонных и бетонных конструкций</t>
    </r>
  </si>
  <si>
    <t>ЗП</t>
  </si>
  <si>
    <t>ЭМ</t>
  </si>
  <si>
    <t>в т.ч. ЗПМ</t>
  </si>
  <si>
    <t>НР от ЗП</t>
  </si>
  <si>
    <t>%</t>
  </si>
  <si>
    <t>СП от ЗП</t>
  </si>
  <si>
    <t>НР и СП от ЗПМ</t>
  </si>
  <si>
    <t>ЗТР</t>
  </si>
  <si>
    <t>чел-ч</t>
  </si>
  <si>
    <t>Всего по позиции:</t>
  </si>
  <si>
    <t>МР</t>
  </si>
  <si>
    <t xml:space="preserve">   Итого по ТСН-2001.16</t>
  </si>
  <si>
    <t xml:space="preserve">   Итого возвратных сумм</t>
  </si>
  <si>
    <r>
      <t>Утилизация трансформатора</t>
    </r>
    <r>
      <rPr>
        <i/>
        <sz val="10"/>
        <rFont val="Arial"/>
        <family val="2"/>
        <charset val="204"/>
      </rPr>
      <t xml:space="preserve">
Базисная стоимость: 10 358,43 = [68 000 / 1,2 /  5,58] +  2% Заг.скл</t>
    </r>
  </si>
  <si>
    <r>
      <t>ОБОРУДОВАНИЕ:
Трансформатор ТМГ-630\10\0,4 кВ с пробивным предохранителем</t>
    </r>
    <r>
      <rPr>
        <i/>
        <sz val="10"/>
        <color rgb="FF821E82"/>
        <rFont val="Arial"/>
        <family val="2"/>
        <charset val="204"/>
      </rPr>
      <t xml:space="preserve">
Базисная стоимость: 77 910,31 = [409 000 / 1,2 /  4,56] +  3% Трансп +  1,2% Заг.скл</t>
    </r>
  </si>
  <si>
    <r>
      <t>Измерение сопротивления изоляции мегаомметром кабельных и других линий напряжением до 1 кВ, предназначенных для передачи электроэнергии к распределительным устройствам, щитам, шкафам и коммутационным аппаратам</t>
    </r>
    <r>
      <rPr>
        <i/>
        <sz val="10"/>
        <rFont val="Arial"/>
        <family val="2"/>
        <charset val="204"/>
      </rPr>
      <t xml:space="preserve">
Поправка: ТСН-2001.5-1. о11. п.8.4.2  Наименование: Пусконаладочные работы по измерению сопротивления изоляции четырехпроводной линии</t>
    </r>
  </si>
  <si>
    <t xml:space="preserve">  тыс.руб</t>
  </si>
  <si>
    <t xml:space="preserve">Составил   </t>
  </si>
  <si>
    <t>(должность, подпись, инициалы, фамилия)</t>
  </si>
  <si>
    <t xml:space="preserve">Проверил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</si>
</sst>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\ #,##0.00"/>
    <numFmt numFmtId="165" formatCode="#,##0.00############;[Red]\-\ #,##0.00############"/>
  </numFmts>
  <fonts count="25" x14ac:knownFonts="1">
    <font>
      <sz val="10"/>
      <name val="Arial"/>
      <charset val="204"/>
    </font>
    <font>
      <b/>
      <sz val="10"/>
      <color indexed="12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b/>
      <sz val="10"/>
      <color indexed="14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i/>
      <sz val="11"/>
      <name val="Arial"/>
      <family val="2"/>
      <charset val="204"/>
    </font>
    <font>
      <i/>
      <sz val="10"/>
      <name val="Arial"/>
      <family val="2"/>
      <charset val="204"/>
    </font>
    <font>
      <sz val="11"/>
      <color rgb="FF821E82"/>
      <name val="Arial"/>
      <family val="2"/>
      <charset val="204"/>
    </font>
    <font>
      <i/>
      <sz val="11"/>
      <color rgb="FF821E82"/>
      <name val="Arial"/>
      <family val="2"/>
      <charset val="204"/>
    </font>
    <font>
      <i/>
      <sz val="10"/>
      <color rgb="FF821E82"/>
      <name val="Arial"/>
      <family val="2"/>
      <charset val="204"/>
    </font>
    <font>
      <sz val="10"/>
      <color rgb="FF821E82"/>
      <name val="Arial"/>
      <family val="2"/>
      <charset val="204"/>
    </font>
    <font>
      <b/>
      <sz val="11"/>
      <color rgb="FF821E8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164" fontId="16" fillId="0" borderId="0" xfId="0" applyNumberFormat="1" applyFont="1"/>
    <xf numFmtId="0" fontId="16" fillId="0" borderId="0" xfId="0" applyFont="1"/>
    <xf numFmtId="164" fontId="11" fillId="0" borderId="0" xfId="0" applyNumberFormat="1" applyFont="1"/>
    <xf numFmtId="0" fontId="11" fillId="0" borderId="0" xfId="0" applyFont="1" applyFill="1" applyAlignment="1">
      <alignment horizontal="left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164" fontId="11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164" fontId="0" fillId="0" borderId="0" xfId="0" applyNumberFormat="1"/>
    <xf numFmtId="0" fontId="11" fillId="0" borderId="5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right" wrapText="1"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0" fontId="11" fillId="0" borderId="5" xfId="0" applyFont="1" applyBorder="1" applyAlignment="1">
      <alignment horizontal="right" wrapText="1"/>
    </xf>
    <xf numFmtId="0" fontId="0" fillId="0" borderId="6" xfId="0" applyBorder="1"/>
    <xf numFmtId="0" fontId="16" fillId="0" borderId="6" xfId="0" applyFont="1" applyBorder="1"/>
    <xf numFmtId="0" fontId="11" fillId="0" borderId="0" xfId="0" quotePrefix="1" applyFont="1" applyAlignment="1">
      <alignment horizontal="right" wrapText="1"/>
    </xf>
    <xf numFmtId="0" fontId="9" fillId="0" borderId="0" xfId="0" applyFont="1" applyAlignment="1">
      <alignment wrapText="1"/>
    </xf>
    <xf numFmtId="0" fontId="20" fillId="0" borderId="5" xfId="0" applyFont="1" applyBorder="1" applyAlignment="1">
      <alignment horizontal="left" vertical="top"/>
    </xf>
    <xf numFmtId="0" fontId="20" fillId="0" borderId="5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right" wrapText="1"/>
    </xf>
    <xf numFmtId="0" fontId="20" fillId="0" borderId="5" xfId="0" applyFont="1" applyBorder="1" applyAlignment="1">
      <alignment horizontal="right"/>
    </xf>
    <xf numFmtId="164" fontId="20" fillId="0" borderId="5" xfId="0" applyNumberFormat="1" applyFont="1" applyBorder="1" applyAlignment="1">
      <alignment horizontal="right"/>
    </xf>
    <xf numFmtId="0" fontId="20" fillId="0" borderId="5" xfId="0" applyFont="1" applyBorder="1" applyAlignment="1">
      <alignment horizontal="right" wrapText="1"/>
    </xf>
    <xf numFmtId="0" fontId="23" fillId="0" borderId="6" xfId="0" applyFont="1" applyBorder="1"/>
    <xf numFmtId="0" fontId="24" fillId="0" borderId="6" xfId="0" applyFont="1" applyBorder="1"/>
    <xf numFmtId="0" fontId="16" fillId="0" borderId="0" xfId="0" applyFont="1" applyAlignment="1">
      <alignment horizontal="left" wrapText="1"/>
    </xf>
    <xf numFmtId="0" fontId="11" fillId="0" borderId="0" xfId="0" quotePrefix="1" applyFont="1" applyAlignment="1">
      <alignment horizontal="left" wrapText="1"/>
    </xf>
    <xf numFmtId="0" fontId="11" fillId="0" borderId="1" xfId="0" applyFont="1" applyBorder="1"/>
    <xf numFmtId="0" fontId="11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165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16" fillId="0" borderId="0" xfId="0" applyFont="1" applyAlignment="1">
      <alignment horizontal="left" wrapText="1"/>
    </xf>
    <xf numFmtId="16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164" fontId="16" fillId="0" borderId="6" xfId="0" applyNumberFormat="1" applyFont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164" fontId="24" fillId="0" borderId="6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1" fillId="0" borderId="1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0" fillId="0" borderId="0" xfId="0" applyAlignment="1"/>
    <xf numFmtId="0" fontId="16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3" fillId="0" borderId="0" xfId="0" applyFont="1" applyAlignment="1">
      <alignment horizontal="left"/>
    </xf>
  </cellXfs>
  <cellStyles count="2">
    <cellStyle name="Обычный" xfId="0" builtinId="0"/>
    <cellStyle name="Обычный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243"/>
  <sheetViews>
    <sheetView tabSelected="1" topLeftCell="A176" zoomScaleNormal="100" workbookViewId="0">
      <selection activeCell="J79" sqref="J79:K79"/>
    </sheetView>
  </sheetViews>
  <sheetFormatPr defaultRowHeight="12.75" x14ac:dyDescent="0.2"/>
  <cols>
    <col min="1" max="1" width="5.7109375" customWidth="1"/>
    <col min="2" max="2" width="11.7109375" customWidth="1"/>
    <col min="3" max="3" width="40.7109375" customWidth="1"/>
    <col min="4" max="6" width="11.7109375" customWidth="1"/>
    <col min="7" max="7" width="12.7109375" customWidth="1"/>
    <col min="8" max="8" width="10.7109375" customWidth="1"/>
    <col min="9" max="11" width="12.7109375" customWidth="1"/>
    <col min="15" max="36" width="0" hidden="1" customWidth="1"/>
    <col min="37" max="37" width="150.7109375" hidden="1" customWidth="1"/>
    <col min="38" max="38" width="104.7109375" hidden="1" customWidth="1"/>
    <col min="39" max="39" width="0" hidden="1" customWidth="1"/>
    <col min="40" max="40" width="110.7109375" hidden="1" customWidth="1"/>
    <col min="41" max="42" width="0" hidden="1" customWidth="1"/>
  </cols>
  <sheetData>
    <row r="1" spans="1:11" x14ac:dyDescent="0.2">
      <c r="A1" s="9" t="str">
        <f>Source!B1</f>
        <v>Smeta.RU  (495) 974-1589</v>
      </c>
    </row>
    <row r="2" spans="1:11" ht="14.25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1" t="s">
        <v>239</v>
      </c>
    </row>
    <row r="3" spans="1:11" ht="16.5" x14ac:dyDescent="0.25">
      <c r="A3" s="12"/>
      <c r="B3" s="77" t="s">
        <v>237</v>
      </c>
      <c r="C3" s="77"/>
      <c r="D3" s="77"/>
      <c r="E3" s="77"/>
      <c r="F3" s="11"/>
      <c r="G3" s="77" t="s">
        <v>238</v>
      </c>
      <c r="H3" s="77"/>
      <c r="I3" s="77"/>
      <c r="J3" s="77"/>
      <c r="K3" s="77"/>
    </row>
    <row r="4" spans="1:11" ht="14.25" x14ac:dyDescent="0.2">
      <c r="A4" s="11"/>
      <c r="B4" s="66"/>
      <c r="C4" s="66"/>
      <c r="D4" s="66"/>
      <c r="E4" s="66"/>
      <c r="F4" s="11"/>
      <c r="G4" s="66"/>
      <c r="H4" s="66"/>
      <c r="I4" s="66"/>
      <c r="J4" s="66"/>
      <c r="K4" s="66"/>
    </row>
    <row r="5" spans="1:11" ht="14.25" x14ac:dyDescent="0.2">
      <c r="A5" s="13"/>
      <c r="B5" s="13"/>
      <c r="C5" s="14"/>
      <c r="D5" s="14"/>
      <c r="E5" s="14"/>
      <c r="F5" s="11"/>
      <c r="G5" s="15"/>
      <c r="H5" s="14"/>
      <c r="I5" s="14"/>
      <c r="J5" s="14"/>
      <c r="K5" s="15"/>
    </row>
    <row r="6" spans="1:11" ht="14.25" x14ac:dyDescent="0.2">
      <c r="A6" s="15"/>
      <c r="B6" s="66" t="str">
        <f>CONCATENATE("______________________ ", IF(Source!AL12&lt;&gt;"", Source!AL12, ""))</f>
        <v xml:space="preserve">______________________ </v>
      </c>
      <c r="C6" s="66"/>
      <c r="D6" s="66"/>
      <c r="E6" s="66"/>
      <c r="F6" s="11"/>
      <c r="G6" s="66" t="str">
        <f>CONCATENATE("______________________ ", IF(Source!AH12&lt;&gt;"", Source!AH12, ""))</f>
        <v xml:space="preserve">______________________ </v>
      </c>
      <c r="H6" s="66"/>
      <c r="I6" s="66"/>
      <c r="J6" s="66"/>
      <c r="K6" s="66"/>
    </row>
    <row r="7" spans="1:11" ht="14.25" x14ac:dyDescent="0.2">
      <c r="A7" s="16"/>
      <c r="B7" s="73" t="s">
        <v>240</v>
      </c>
      <c r="C7" s="73"/>
      <c r="D7" s="73"/>
      <c r="E7" s="73"/>
      <c r="F7" s="11"/>
      <c r="G7" s="73" t="s">
        <v>240</v>
      </c>
      <c r="H7" s="73"/>
      <c r="I7" s="73"/>
      <c r="J7" s="73"/>
      <c r="K7" s="73"/>
    </row>
    <row r="9" spans="1:11" ht="14.25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5.75" x14ac:dyDescent="0.25">
      <c r="A10" s="74" t="str">
        <f>IF(Source!G12&lt;&gt;"Новый объект", Source!G12, "")</f>
        <v>г. Москва, МКАД_(01.10.2020)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x14ac:dyDescent="0.2">
      <c r="A11" s="55" t="s">
        <v>241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4.25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5.75" x14ac:dyDescent="0.25">
      <c r="A13" s="74" t="str">
        <f>CONCATENATE( "ЛОКАЛЬНАЯ СМЕТА № ",IF(Source!F12&lt;&gt;"Новый объект", Source!F12, ""))</f>
        <v>ЛОКАЛЬНАЯ СМЕТА № 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1" ht="14.25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8" x14ac:dyDescent="0.2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1:11" x14ac:dyDescent="0.2">
      <c r="A16" s="70" t="s">
        <v>242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37" ht="14.25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37" ht="14.25" x14ac:dyDescent="0.2">
      <c r="A18" s="69" t="str">
        <f>CONCATENATE( "Основание: чертежи № ", Source!J12)</f>
        <v xml:space="preserve">Основание: чертежи № 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37" ht="14.25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37" ht="28.5" x14ac:dyDescent="0.2">
      <c r="A20" s="11"/>
      <c r="B20" s="11"/>
      <c r="C20" s="11"/>
      <c r="D20" s="11"/>
      <c r="E20" s="11"/>
      <c r="F20" s="11"/>
      <c r="G20" s="11"/>
      <c r="H20" s="11"/>
      <c r="I20" s="18" t="s">
        <v>243</v>
      </c>
      <c r="J20" s="18" t="s">
        <v>244</v>
      </c>
      <c r="K20" s="11"/>
    </row>
    <row r="21" spans="1:37" ht="15" x14ac:dyDescent="0.25">
      <c r="A21" s="11"/>
      <c r="B21" s="11"/>
      <c r="C21" s="11"/>
      <c r="D21" s="11"/>
      <c r="E21" s="11"/>
      <c r="F21" s="72" t="s">
        <v>245</v>
      </c>
      <c r="G21" s="72"/>
      <c r="H21" s="72"/>
      <c r="I21" s="19">
        <f>SUM(O1:O231)/1000</f>
        <v>123.54740000000002</v>
      </c>
      <c r="J21" s="19">
        <f>(Source!F254/1000)</f>
        <v>860.10004000000004</v>
      </c>
      <c r="K21" s="20" t="s">
        <v>282</v>
      </c>
    </row>
    <row r="22" spans="1:37" ht="14.25" x14ac:dyDescent="0.2">
      <c r="A22" s="11"/>
      <c r="B22" s="11"/>
      <c r="C22" s="11"/>
      <c r="D22" s="11"/>
      <c r="E22" s="11"/>
      <c r="F22" s="66" t="s">
        <v>13</v>
      </c>
      <c r="G22" s="66"/>
      <c r="H22" s="66"/>
      <c r="I22" s="21">
        <f>SUM(X1:X231)/1000</f>
        <v>34.321380000000005</v>
      </c>
      <c r="J22" s="21">
        <f>(Source!F238)/1000</f>
        <v>195.73357000000001</v>
      </c>
      <c r="K22" s="11" t="s">
        <v>282</v>
      </c>
    </row>
    <row r="23" spans="1:37" ht="14.25" x14ac:dyDescent="0.2">
      <c r="A23" s="11"/>
      <c r="B23" s="11"/>
      <c r="C23" s="11"/>
      <c r="D23" s="11"/>
      <c r="E23" s="11"/>
      <c r="F23" s="66" t="s">
        <v>246</v>
      </c>
      <c r="G23" s="66"/>
      <c r="H23" s="66"/>
      <c r="I23" s="21">
        <f>SUM(Y1:Y231)/1000</f>
        <v>8.7496700000000001</v>
      </c>
      <c r="J23" s="21">
        <f>(Source!F239)/1000</f>
        <v>113.48818</v>
      </c>
      <c r="K23" s="11" t="s">
        <v>282</v>
      </c>
    </row>
    <row r="24" spans="1:37" ht="14.25" x14ac:dyDescent="0.2">
      <c r="A24" s="11"/>
      <c r="B24" s="11"/>
      <c r="C24" s="11"/>
      <c r="D24" s="11"/>
      <c r="E24" s="11"/>
      <c r="F24" s="66" t="s">
        <v>247</v>
      </c>
      <c r="G24" s="66"/>
      <c r="H24" s="66"/>
      <c r="I24" s="21">
        <f>SUM(Z1:Z231)/1000</f>
        <v>77.910309999999996</v>
      </c>
      <c r="J24" s="21">
        <f>(Source!F230)/1000</f>
        <v>355.27100999999999</v>
      </c>
      <c r="K24" s="11" t="s">
        <v>282</v>
      </c>
    </row>
    <row r="25" spans="1:37" ht="14.25" x14ac:dyDescent="0.2">
      <c r="A25" s="11"/>
      <c r="B25" s="11"/>
      <c r="C25" s="11"/>
      <c r="D25" s="11"/>
      <c r="E25" s="11"/>
      <c r="F25" s="66" t="s">
        <v>248</v>
      </c>
      <c r="G25" s="66"/>
      <c r="H25" s="66"/>
      <c r="I25" s="21">
        <f>SUM(AA1:AA231)/1000</f>
        <v>2.5660400000000005</v>
      </c>
      <c r="J25" s="21">
        <f>(Source!F240+Source!F241)/1000</f>
        <v>51.505220000000001</v>
      </c>
      <c r="K25" s="11" t="s">
        <v>282</v>
      </c>
    </row>
    <row r="26" spans="1:37" ht="14.25" x14ac:dyDescent="0.2">
      <c r="A26" s="11"/>
      <c r="B26" s="11"/>
      <c r="C26" s="11"/>
      <c r="D26" s="11"/>
      <c r="E26" s="11"/>
      <c r="F26" s="66" t="s">
        <v>249</v>
      </c>
      <c r="G26" s="66"/>
      <c r="H26" s="66"/>
      <c r="I26" s="21">
        <f>SUM(W1:W231)/1000</f>
        <v>2.7143399999999991</v>
      </c>
      <c r="J26" s="21">
        <f>(Source!F236+ Source!F235)/1000</f>
        <v>65.768640000000005</v>
      </c>
      <c r="K26" s="11" t="s">
        <v>282</v>
      </c>
    </row>
    <row r="27" spans="1:37" ht="14.25" x14ac:dyDescent="0.2">
      <c r="A27" s="11"/>
      <c r="B27" s="11"/>
      <c r="C27" s="11"/>
      <c r="D27" s="11"/>
      <c r="E27" s="11"/>
      <c r="F27" s="66" t="s">
        <v>250</v>
      </c>
      <c r="G27" s="66"/>
      <c r="H27" s="66"/>
      <c r="I27" s="21">
        <f>SUM(AB1:AB231)</f>
        <v>175.6428282</v>
      </c>
      <c r="J27" s="21"/>
      <c r="K27" s="11" t="s">
        <v>215</v>
      </c>
    </row>
    <row r="28" spans="1:37" ht="14.25" hidden="1" x14ac:dyDescent="0.2">
      <c r="A28" s="11"/>
      <c r="B28" s="11"/>
      <c r="C28" s="11"/>
      <c r="D28" s="11"/>
      <c r="E28" s="11"/>
      <c r="F28" s="22" t="s">
        <v>251</v>
      </c>
      <c r="G28" s="22"/>
      <c r="H28" s="22"/>
      <c r="I28" s="21"/>
      <c r="J28" s="21"/>
      <c r="K28" s="11"/>
    </row>
    <row r="29" spans="1:37" ht="14.25" hidden="1" x14ac:dyDescent="0.2">
      <c r="A29" s="11"/>
      <c r="B29" s="11"/>
      <c r="C29" s="11"/>
      <c r="D29" s="11"/>
      <c r="E29" s="11"/>
      <c r="F29" s="67" t="s">
        <v>92</v>
      </c>
      <c r="G29" s="68"/>
      <c r="H29" s="68"/>
      <c r="I29" s="21">
        <f>SUM(AE1:AE231)/1000</f>
        <v>0</v>
      </c>
      <c r="J29" s="21">
        <f>SUM(AF1:AF231)/1000</f>
        <v>0</v>
      </c>
      <c r="K29" s="11" t="s">
        <v>282</v>
      </c>
    </row>
    <row r="30" spans="1:37" ht="14.25" x14ac:dyDescent="0.2">
      <c r="A30" s="11"/>
      <c r="B30" s="11"/>
      <c r="C30" s="11"/>
      <c r="D30" s="11"/>
      <c r="E30" s="11"/>
      <c r="F30" s="15"/>
      <c r="G30" s="15"/>
      <c r="H30" s="15"/>
      <c r="I30" s="21"/>
      <c r="J30" s="21"/>
      <c r="K30" s="11"/>
    </row>
    <row r="31" spans="1:37" ht="14.25" x14ac:dyDescent="0.2">
      <c r="A31" s="11" t="s">
        <v>263</v>
      </c>
      <c r="B31" s="11"/>
      <c r="C31" s="11"/>
      <c r="D31" s="11"/>
      <c r="E31" s="11"/>
      <c r="F31" s="15"/>
      <c r="G31" s="15"/>
      <c r="H31" s="15"/>
      <c r="I31" s="21"/>
      <c r="J31" s="21"/>
      <c r="K31" s="11"/>
    </row>
    <row r="32" spans="1:37" ht="14.25" x14ac:dyDescent="0.2">
      <c r="A32" s="69" t="s">
        <v>264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AK32" s="25" t="s">
        <v>264</v>
      </c>
    </row>
    <row r="33" spans="1:28" ht="85.5" x14ac:dyDescent="0.2">
      <c r="A33" s="23" t="s">
        <v>252</v>
      </c>
      <c r="B33" s="23" t="s">
        <v>253</v>
      </c>
      <c r="C33" s="23" t="s">
        <v>254</v>
      </c>
      <c r="D33" s="23" t="s">
        <v>255</v>
      </c>
      <c r="E33" s="23" t="s">
        <v>256</v>
      </c>
      <c r="F33" s="23" t="s">
        <v>257</v>
      </c>
      <c r="G33" s="24" t="s">
        <v>258</v>
      </c>
      <c r="H33" s="24" t="s">
        <v>259</v>
      </c>
      <c r="I33" s="23" t="s">
        <v>260</v>
      </c>
      <c r="J33" s="23" t="s">
        <v>261</v>
      </c>
      <c r="K33" s="23" t="s">
        <v>262</v>
      </c>
    </row>
    <row r="34" spans="1:28" ht="14.25" x14ac:dyDescent="0.2">
      <c r="A34" s="23">
        <v>1</v>
      </c>
      <c r="B34" s="23">
        <v>2</v>
      </c>
      <c r="C34" s="23">
        <v>3</v>
      </c>
      <c r="D34" s="23">
        <v>4</v>
      </c>
      <c r="E34" s="23">
        <v>5</v>
      </c>
      <c r="F34" s="23">
        <v>6</v>
      </c>
      <c r="G34" s="23">
        <v>7</v>
      </c>
      <c r="H34" s="23">
        <v>8</v>
      </c>
      <c r="I34" s="23">
        <v>9</v>
      </c>
      <c r="J34" s="23">
        <v>10</v>
      </c>
      <c r="K34" s="23">
        <v>11</v>
      </c>
    </row>
    <row r="36" spans="1:28" ht="16.5" x14ac:dyDescent="0.25">
      <c r="A36" s="63" t="str">
        <f>CONCATENATE("Локальная смета: ",IF(Source!G20&lt;&gt;"Новая локальная смета", Source!G20, ""))</f>
        <v>Локальная смета: Замена силового трансформатора ТМГ 1000\10\0,4 кВ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8" spans="1:28" ht="16.5" x14ac:dyDescent="0.25">
      <c r="A38" s="63" t="str">
        <f>CONCATENATE("Раздел: ",IF(Source!G24&lt;&gt;"Новый раздел", Source!G24, ""))</f>
        <v>Раздел: Строительные работы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</row>
    <row r="40" spans="1:28" ht="15" x14ac:dyDescent="0.25">
      <c r="B40" s="64" t="str">
        <f>Source!G28</f>
        <v>ремонт  трансформаторной камеры</v>
      </c>
      <c r="C40" s="64"/>
      <c r="D40" s="64"/>
      <c r="E40" s="64"/>
      <c r="F40" s="64"/>
      <c r="G40" s="64"/>
      <c r="H40" s="64"/>
      <c r="I40" s="64"/>
      <c r="J40" s="64"/>
    </row>
    <row r="41" spans="1:28" ht="66.75" x14ac:dyDescent="0.2">
      <c r="A41" s="26" t="str">
        <f>Source!E29</f>
        <v>1</v>
      </c>
      <c r="B41" s="27" t="str">
        <f>Source!F29</f>
        <v>3.8-1-3</v>
      </c>
      <c r="C41" s="27" t="s">
        <v>265</v>
      </c>
      <c r="D41" s="28" t="str">
        <f>Source!H29</f>
        <v>1 м3 основания</v>
      </c>
      <c r="E41" s="10">
        <f>Source!I29</f>
        <v>2</v>
      </c>
      <c r="F41" s="30"/>
      <c r="G41" s="29"/>
      <c r="H41" s="10"/>
      <c r="I41" s="30"/>
      <c r="J41" s="10"/>
      <c r="K41" s="30"/>
      <c r="Q41">
        <f>ROUND((Source!DN29/100)*ROUND((Source!AF29*Source!AV29)*Source!I29, 2), 2)</f>
        <v>15.57</v>
      </c>
      <c r="R41">
        <f>Source!X29</f>
        <v>305.33999999999997</v>
      </c>
      <c r="S41">
        <f>ROUND((Source!DO29/100)*ROUND((Source!AF29*Source!AV29)*Source!I29, 2), 2)</f>
        <v>11.42</v>
      </c>
      <c r="T41">
        <f>Source!Y29</f>
        <v>147.28</v>
      </c>
      <c r="U41">
        <f>ROUND((175/100)*ROUND((Source!AE29*Source!AV29)*Source!I29, 2), 2)</f>
        <v>11.87</v>
      </c>
      <c r="V41">
        <f>ROUND((157/100)*ROUND(Source!CS29*Source!I29, 2), 2)</f>
        <v>258.08999999999997</v>
      </c>
    </row>
    <row r="42" spans="1:28" ht="14.25" x14ac:dyDescent="0.2">
      <c r="A42" s="26"/>
      <c r="B42" s="27"/>
      <c r="C42" s="27" t="s">
        <v>266</v>
      </c>
      <c r="D42" s="28"/>
      <c r="E42" s="10"/>
      <c r="F42" s="30">
        <f>Source!AO29</f>
        <v>8.85</v>
      </c>
      <c r="G42" s="29" t="str">
        <f>Source!DG29</f>
        <v>)*0,8</v>
      </c>
      <c r="H42" s="10">
        <f>Source!AV29</f>
        <v>1.0469999999999999</v>
      </c>
      <c r="I42" s="30">
        <f>ROUND((Source!AF29*Source!AV29)*Source!I29, 2)</f>
        <v>14.83</v>
      </c>
      <c r="J42" s="10">
        <f>IF(Source!BA29&lt;&gt; 0, Source!BA29, 1)</f>
        <v>24.23</v>
      </c>
      <c r="K42" s="30">
        <f>Source!S29</f>
        <v>359.22</v>
      </c>
      <c r="W42">
        <f>I42</f>
        <v>14.83</v>
      </c>
    </row>
    <row r="43" spans="1:28" ht="14.25" x14ac:dyDescent="0.2">
      <c r="A43" s="26"/>
      <c r="B43" s="27"/>
      <c r="C43" s="27" t="s">
        <v>267</v>
      </c>
      <c r="D43" s="28"/>
      <c r="E43" s="10"/>
      <c r="F43" s="30">
        <f>Source!AM29</f>
        <v>16.02</v>
      </c>
      <c r="G43" s="29" t="str">
        <f>Source!DE29</f>
        <v>)*0,8</v>
      </c>
      <c r="H43" s="10">
        <f>Source!AV29</f>
        <v>1.0469999999999999</v>
      </c>
      <c r="I43" s="30">
        <f>ROUND((Source!AD29*Source!AV29)*Source!I29, 2)</f>
        <v>26.85</v>
      </c>
      <c r="J43" s="10">
        <f>IF(Source!BB29&lt;&gt; 0, Source!BB29, 1)</f>
        <v>11.02</v>
      </c>
      <c r="K43" s="30">
        <f>Source!Q29</f>
        <v>295.83</v>
      </c>
    </row>
    <row r="44" spans="1:28" ht="14.25" x14ac:dyDescent="0.2">
      <c r="A44" s="26"/>
      <c r="B44" s="27"/>
      <c r="C44" s="27" t="s">
        <v>268</v>
      </c>
      <c r="D44" s="28"/>
      <c r="E44" s="10"/>
      <c r="F44" s="30">
        <f>Source!AN29</f>
        <v>4.05</v>
      </c>
      <c r="G44" s="29" t="str">
        <f>Source!DF29</f>
        <v>)*0,8</v>
      </c>
      <c r="H44" s="10">
        <f>Source!AV29</f>
        <v>1.0469999999999999</v>
      </c>
      <c r="I44" s="31">
        <f>ROUND((Source!AE29*Source!AV29)*Source!I29, 2)</f>
        <v>6.78</v>
      </c>
      <c r="J44" s="10">
        <f>IF(Source!BS29&lt;&gt; 0, Source!BS29, 1)</f>
        <v>24.23</v>
      </c>
      <c r="K44" s="31">
        <f>Source!R29</f>
        <v>164.39</v>
      </c>
      <c r="W44">
        <f>I44</f>
        <v>6.78</v>
      </c>
    </row>
    <row r="45" spans="1:28" ht="14.25" x14ac:dyDescent="0.2">
      <c r="A45" s="26"/>
      <c r="B45" s="27"/>
      <c r="C45" s="27" t="s">
        <v>269</v>
      </c>
      <c r="D45" s="28" t="s">
        <v>270</v>
      </c>
      <c r="E45" s="10">
        <f>Source!DN29</f>
        <v>105</v>
      </c>
      <c r="F45" s="30"/>
      <c r="G45" s="29"/>
      <c r="H45" s="10"/>
      <c r="I45" s="30">
        <f>SUM(Q41:Q44)</f>
        <v>15.57</v>
      </c>
      <c r="J45" s="10">
        <f>Source!BZ29</f>
        <v>85</v>
      </c>
      <c r="K45" s="30">
        <f>SUM(R41:R44)</f>
        <v>305.33999999999997</v>
      </c>
    </row>
    <row r="46" spans="1:28" ht="14.25" x14ac:dyDescent="0.2">
      <c r="A46" s="26"/>
      <c r="B46" s="27"/>
      <c r="C46" s="27" t="s">
        <v>271</v>
      </c>
      <c r="D46" s="28" t="s">
        <v>270</v>
      </c>
      <c r="E46" s="10">
        <f>Source!DO29</f>
        <v>77</v>
      </c>
      <c r="F46" s="30"/>
      <c r="G46" s="29"/>
      <c r="H46" s="10"/>
      <c r="I46" s="30">
        <f>SUM(S41:S45)</f>
        <v>11.42</v>
      </c>
      <c r="J46" s="10">
        <f>Source!CA29</f>
        <v>41</v>
      </c>
      <c r="K46" s="30">
        <f>SUM(T41:T45)</f>
        <v>147.28</v>
      </c>
    </row>
    <row r="47" spans="1:28" ht="14.25" x14ac:dyDescent="0.2">
      <c r="A47" s="26"/>
      <c r="B47" s="27"/>
      <c r="C47" s="27" t="s">
        <v>272</v>
      </c>
      <c r="D47" s="28" t="s">
        <v>270</v>
      </c>
      <c r="E47" s="10">
        <f>175</f>
        <v>175</v>
      </c>
      <c r="F47" s="30"/>
      <c r="G47" s="29"/>
      <c r="H47" s="10"/>
      <c r="I47" s="30">
        <f>SUM(U41:U46)</f>
        <v>11.87</v>
      </c>
      <c r="J47" s="10">
        <f>157</f>
        <v>157</v>
      </c>
      <c r="K47" s="30">
        <f>SUM(V41:V46)</f>
        <v>258.08999999999997</v>
      </c>
    </row>
    <row r="48" spans="1:28" ht="14.25" x14ac:dyDescent="0.2">
      <c r="A48" s="33"/>
      <c r="B48" s="34"/>
      <c r="C48" s="34" t="s">
        <v>273</v>
      </c>
      <c r="D48" s="35" t="s">
        <v>274</v>
      </c>
      <c r="E48" s="36">
        <f>Source!AQ29</f>
        <v>0.85</v>
      </c>
      <c r="F48" s="37"/>
      <c r="G48" s="38" t="str">
        <f>Source!DI29</f>
        <v>)*0,8</v>
      </c>
      <c r="H48" s="36">
        <f>Source!AV29</f>
        <v>1.0469999999999999</v>
      </c>
      <c r="I48" s="37">
        <f>Source!U29</f>
        <v>1.4239200000000001</v>
      </c>
      <c r="J48" s="36"/>
      <c r="K48" s="37"/>
      <c r="AB48" s="32">
        <f>I48</f>
        <v>1.4239200000000001</v>
      </c>
    </row>
    <row r="49" spans="1:28" ht="15" x14ac:dyDescent="0.25">
      <c r="A49" s="39"/>
      <c r="B49" s="39"/>
      <c r="C49" s="40" t="s">
        <v>275</v>
      </c>
      <c r="D49" s="39"/>
      <c r="E49" s="39"/>
      <c r="F49" s="39"/>
      <c r="G49" s="39"/>
      <c r="H49" s="62">
        <f>I42+I43+I45+I46+I47</f>
        <v>80.540000000000006</v>
      </c>
      <c r="I49" s="62"/>
      <c r="J49" s="62">
        <f>K42+K43+K45+K46+K47</f>
        <v>1365.7599999999998</v>
      </c>
      <c r="K49" s="62"/>
      <c r="O49" s="32">
        <f>I42+I43+I45+I46+I47</f>
        <v>80.540000000000006</v>
      </c>
      <c r="P49" s="32">
        <f>K42+K43+K45+K46+K47</f>
        <v>1365.7599999999998</v>
      </c>
      <c r="X49">
        <f>IF(Source!BI29&lt;=1,I42+I43+I45+I46+I47-0, 0)</f>
        <v>80.540000000000006</v>
      </c>
      <c r="Y49">
        <f>IF(Source!BI29=2,I42+I43+I45+I46+I47-0, 0)</f>
        <v>0</v>
      </c>
      <c r="Z49">
        <f>IF(Source!BI29=3,I42+I43+I45+I46+I47-0, 0)</f>
        <v>0</v>
      </c>
      <c r="AA49">
        <f>IF(Source!BI29=4,I42+I43+I45+I46+I47,0)</f>
        <v>0</v>
      </c>
    </row>
    <row r="51" spans="1:28" ht="28.5" x14ac:dyDescent="0.2">
      <c r="A51" s="26" t="str">
        <f>Source!E30</f>
        <v>2</v>
      </c>
      <c r="B51" s="27" t="str">
        <f>Source!F30</f>
        <v>3.8-1-3</v>
      </c>
      <c r="C51" s="27" t="s">
        <v>16</v>
      </c>
      <c r="D51" s="28" t="str">
        <f>Source!H30</f>
        <v>1 м3 основания</v>
      </c>
      <c r="E51" s="10">
        <f>Source!I30</f>
        <v>2</v>
      </c>
      <c r="F51" s="30"/>
      <c r="G51" s="29"/>
      <c r="H51" s="10"/>
      <c r="I51" s="30"/>
      <c r="J51" s="10"/>
      <c r="K51" s="30"/>
      <c r="Q51">
        <f>ROUND((Source!DN30/100)*ROUND((Source!AF30*Source!AV30)*Source!I30, 2), 2)</f>
        <v>19.46</v>
      </c>
      <c r="R51">
        <f>Source!X30</f>
        <v>381.68</v>
      </c>
      <c r="S51">
        <f>ROUND((Source!DO30/100)*ROUND((Source!AF30*Source!AV30)*Source!I30, 2), 2)</f>
        <v>14.27</v>
      </c>
      <c r="T51">
        <f>Source!Y30</f>
        <v>184.1</v>
      </c>
      <c r="U51">
        <f>ROUND((175/100)*ROUND((Source!AE30*Source!AV30)*Source!I30, 2), 2)</f>
        <v>14.84</v>
      </c>
      <c r="V51">
        <f>ROUND((157/100)*ROUND(Source!CS30*Source!I30, 2), 2)</f>
        <v>322.62</v>
      </c>
    </row>
    <row r="52" spans="1:28" ht="14.25" x14ac:dyDescent="0.2">
      <c r="A52" s="26"/>
      <c r="B52" s="27"/>
      <c r="C52" s="27" t="s">
        <v>266</v>
      </c>
      <c r="D52" s="28"/>
      <c r="E52" s="10"/>
      <c r="F52" s="30">
        <f>Source!AO30</f>
        <v>8.85</v>
      </c>
      <c r="G52" s="29" t="str">
        <f>Source!DG30</f>
        <v/>
      </c>
      <c r="H52" s="10">
        <f>Source!AV30</f>
        <v>1.0469999999999999</v>
      </c>
      <c r="I52" s="30">
        <f>ROUND((Source!AF30*Source!AV30)*Source!I30, 2)</f>
        <v>18.53</v>
      </c>
      <c r="J52" s="10">
        <f>IF(Source!BA30&lt;&gt; 0, Source!BA30, 1)</f>
        <v>24.23</v>
      </c>
      <c r="K52" s="30">
        <f>Source!S30</f>
        <v>449.03</v>
      </c>
      <c r="W52">
        <f>I52</f>
        <v>18.53</v>
      </c>
    </row>
    <row r="53" spans="1:28" ht="14.25" x14ac:dyDescent="0.2">
      <c r="A53" s="26"/>
      <c r="B53" s="27"/>
      <c r="C53" s="27" t="s">
        <v>267</v>
      </c>
      <c r="D53" s="28"/>
      <c r="E53" s="10"/>
      <c r="F53" s="30">
        <f>Source!AM30</f>
        <v>16.02</v>
      </c>
      <c r="G53" s="29" t="str">
        <f>Source!DE30</f>
        <v/>
      </c>
      <c r="H53" s="10">
        <f>Source!AV30</f>
        <v>1.0469999999999999</v>
      </c>
      <c r="I53" s="30">
        <f>ROUND((Source!AD30*Source!AV30)*Source!I30, 2)</f>
        <v>33.549999999999997</v>
      </c>
      <c r="J53" s="10">
        <f>IF(Source!BB30&lt;&gt; 0, Source!BB30, 1)</f>
        <v>11.02</v>
      </c>
      <c r="K53" s="30">
        <f>Source!Q30</f>
        <v>369.68</v>
      </c>
    </row>
    <row r="54" spans="1:28" ht="14.25" x14ac:dyDescent="0.2">
      <c r="A54" s="26"/>
      <c r="B54" s="27"/>
      <c r="C54" s="27" t="s">
        <v>268</v>
      </c>
      <c r="D54" s="28"/>
      <c r="E54" s="10"/>
      <c r="F54" s="30">
        <f>Source!AN30</f>
        <v>4.05</v>
      </c>
      <c r="G54" s="29" t="str">
        <f>Source!DF30</f>
        <v/>
      </c>
      <c r="H54" s="10">
        <f>Source!AV30</f>
        <v>1.0469999999999999</v>
      </c>
      <c r="I54" s="31">
        <f>ROUND((Source!AE30*Source!AV30)*Source!I30, 2)</f>
        <v>8.48</v>
      </c>
      <c r="J54" s="10">
        <f>IF(Source!BS30&lt;&gt; 0, Source!BS30, 1)</f>
        <v>24.23</v>
      </c>
      <c r="K54" s="31">
        <f>Source!R30</f>
        <v>205.49</v>
      </c>
      <c r="W54">
        <f>I54</f>
        <v>8.48</v>
      </c>
    </row>
    <row r="55" spans="1:28" ht="14.25" x14ac:dyDescent="0.2">
      <c r="A55" s="26"/>
      <c r="B55" s="27"/>
      <c r="C55" s="27" t="s">
        <v>276</v>
      </c>
      <c r="D55" s="28"/>
      <c r="E55" s="10"/>
      <c r="F55" s="30">
        <f>Source!AL30</f>
        <v>1.06</v>
      </c>
      <c r="G55" s="29" t="str">
        <f>Source!DD30</f>
        <v/>
      </c>
      <c r="H55" s="10">
        <f>Source!AW30</f>
        <v>1.0029999999999999</v>
      </c>
      <c r="I55" s="30">
        <f>ROUND((Source!AC30*Source!AW30)*Source!I30, 2)</f>
        <v>2.13</v>
      </c>
      <c r="J55" s="10">
        <f>IF(Source!BC30&lt;&gt; 0, Source!BC30, 1)</f>
        <v>4.99</v>
      </c>
      <c r="K55" s="30">
        <f>Source!P30</f>
        <v>10.61</v>
      </c>
    </row>
    <row r="56" spans="1:28" ht="28.5" x14ac:dyDescent="0.2">
      <c r="A56" s="26" t="str">
        <f>Source!E31</f>
        <v>2,1</v>
      </c>
      <c r="B56" s="27" t="str">
        <f>Source!F31</f>
        <v>1.1-1-155</v>
      </c>
      <c r="C56" s="27" t="s">
        <v>28</v>
      </c>
      <c r="D56" s="28" t="str">
        <f>Source!H31</f>
        <v>м3</v>
      </c>
      <c r="E56" s="10">
        <f>Source!I31</f>
        <v>2.2999999999999998</v>
      </c>
      <c r="F56" s="30">
        <f>Source!AK31</f>
        <v>157.1</v>
      </c>
      <c r="G56" s="41" t="s">
        <v>3</v>
      </c>
      <c r="H56" s="10">
        <f>Source!AW31</f>
        <v>1.0029999999999999</v>
      </c>
      <c r="I56" s="30">
        <f>ROUND((Source!AC31*Source!AW31)*Source!I31, 2)+ROUND((Source!AD31*Source!AV31)*Source!I31, 2)+ROUND((Source!AF31*Source!AV31)*Source!I31, 2)</f>
        <v>362.41</v>
      </c>
      <c r="J56" s="10">
        <f>IF(Source!BC31&lt;&gt; 0, Source!BC31, 1)</f>
        <v>10.97</v>
      </c>
      <c r="K56" s="30">
        <f>Source!O31</f>
        <v>3975.68</v>
      </c>
      <c r="Q56">
        <f>ROUND((Source!DN31/100)*ROUND((Source!AF31*Source!AV31)*Source!I31, 2), 2)</f>
        <v>0</v>
      </c>
      <c r="R56">
        <f>Source!X31</f>
        <v>0</v>
      </c>
      <c r="S56">
        <f>ROUND((Source!DO31/100)*ROUND((Source!AF31*Source!AV31)*Source!I31, 2), 2)</f>
        <v>0</v>
      </c>
      <c r="T56">
        <f>Source!Y31</f>
        <v>0</v>
      </c>
      <c r="U56">
        <f>ROUND((175/100)*ROUND((Source!AE31*Source!AV31)*Source!I31, 2), 2)</f>
        <v>0</v>
      </c>
      <c r="V56">
        <f>ROUND((157/100)*ROUND(Source!CS31*Source!I31, 2), 2)</f>
        <v>0</v>
      </c>
      <c r="X56">
        <f>IF(Source!BI31&lt;=1,I56, 0)</f>
        <v>362.41</v>
      </c>
      <c r="Y56">
        <f>IF(Source!BI31=2,I56, 0)</f>
        <v>0</v>
      </c>
      <c r="Z56">
        <f>IF(Source!BI31=3,I56, 0)</f>
        <v>0</v>
      </c>
      <c r="AA56">
        <f>IF(Source!BI31=4,I56, 0)</f>
        <v>0</v>
      </c>
    </row>
    <row r="57" spans="1:28" ht="14.25" x14ac:dyDescent="0.2">
      <c r="A57" s="26"/>
      <c r="B57" s="27"/>
      <c r="C57" s="27" t="s">
        <v>269</v>
      </c>
      <c r="D57" s="28" t="s">
        <v>270</v>
      </c>
      <c r="E57" s="10">
        <f>Source!DN30</f>
        <v>105</v>
      </c>
      <c r="F57" s="30"/>
      <c r="G57" s="29"/>
      <c r="H57" s="10"/>
      <c r="I57" s="30">
        <f>SUM(Q51:Q56)</f>
        <v>19.46</v>
      </c>
      <c r="J57" s="10">
        <f>Source!BZ30</f>
        <v>85</v>
      </c>
      <c r="K57" s="30">
        <f>SUM(R51:R56)</f>
        <v>381.68</v>
      </c>
    </row>
    <row r="58" spans="1:28" ht="14.25" x14ac:dyDescent="0.2">
      <c r="A58" s="26"/>
      <c r="B58" s="27"/>
      <c r="C58" s="27" t="s">
        <v>271</v>
      </c>
      <c r="D58" s="28" t="s">
        <v>270</v>
      </c>
      <c r="E58" s="10">
        <f>Source!DO30</f>
        <v>77</v>
      </c>
      <c r="F58" s="30"/>
      <c r="G58" s="29"/>
      <c r="H58" s="10"/>
      <c r="I58" s="30">
        <f>SUM(S51:S57)</f>
        <v>14.27</v>
      </c>
      <c r="J58" s="10">
        <f>Source!CA30</f>
        <v>41</v>
      </c>
      <c r="K58" s="30">
        <f>SUM(T51:T57)</f>
        <v>184.1</v>
      </c>
    </row>
    <row r="59" spans="1:28" ht="14.25" x14ac:dyDescent="0.2">
      <c r="A59" s="26"/>
      <c r="B59" s="27"/>
      <c r="C59" s="27" t="s">
        <v>272</v>
      </c>
      <c r="D59" s="28" t="s">
        <v>270</v>
      </c>
      <c r="E59" s="10">
        <f>175</f>
        <v>175</v>
      </c>
      <c r="F59" s="30"/>
      <c r="G59" s="29"/>
      <c r="H59" s="10"/>
      <c r="I59" s="30">
        <f>SUM(U51:U58)</f>
        <v>14.84</v>
      </c>
      <c r="J59" s="10">
        <f>157</f>
        <v>157</v>
      </c>
      <c r="K59" s="30">
        <f>SUM(V51:V58)</f>
        <v>322.62</v>
      </c>
    </row>
    <row r="60" spans="1:28" ht="14.25" x14ac:dyDescent="0.2">
      <c r="A60" s="33"/>
      <c r="B60" s="34"/>
      <c r="C60" s="34" t="s">
        <v>273</v>
      </c>
      <c r="D60" s="35" t="s">
        <v>274</v>
      </c>
      <c r="E60" s="36">
        <f>Source!AQ30</f>
        <v>0.85</v>
      </c>
      <c r="F60" s="37"/>
      <c r="G60" s="38" t="str">
        <f>Source!DI30</f>
        <v/>
      </c>
      <c r="H60" s="36">
        <f>Source!AV30</f>
        <v>1.0469999999999999</v>
      </c>
      <c r="I60" s="37">
        <f>Source!U30</f>
        <v>1.7798999999999998</v>
      </c>
      <c r="J60" s="36"/>
      <c r="K60" s="37"/>
      <c r="AB60" s="32">
        <f>I60</f>
        <v>1.7798999999999998</v>
      </c>
    </row>
    <row r="61" spans="1:28" ht="15" x14ac:dyDescent="0.25">
      <c r="A61" s="39"/>
      <c r="B61" s="39"/>
      <c r="C61" s="40" t="s">
        <v>275</v>
      </c>
      <c r="D61" s="39"/>
      <c r="E61" s="39"/>
      <c r="F61" s="39"/>
      <c r="G61" s="39"/>
      <c r="H61" s="62">
        <f>I52+I53+I55+I57+I58+I59+SUM(I56:I56)</f>
        <v>465.19000000000005</v>
      </c>
      <c r="I61" s="62"/>
      <c r="J61" s="62">
        <f>K52+K53+K55+K57+K58+K59+SUM(K56:K56)</f>
        <v>5693.4</v>
      </c>
      <c r="K61" s="62"/>
      <c r="O61" s="32">
        <f>I52+I53+I55+I57+I58+I59+SUM(I56:I56)</f>
        <v>465.19000000000005</v>
      </c>
      <c r="P61" s="32">
        <f>K52+K53+K55+K57+K58+K59+SUM(K56:K56)</f>
        <v>5693.4</v>
      </c>
      <c r="X61">
        <f>IF(Source!BI30&lt;=1,I52+I53+I55+I57+I58+I59-0, 0)</f>
        <v>102.78</v>
      </c>
      <c r="Y61">
        <f>IF(Source!BI30=2,I52+I53+I55+I57+I58+I59-0, 0)</f>
        <v>0</v>
      </c>
      <c r="Z61">
        <f>IF(Source!BI30=3,I52+I53+I55+I57+I58+I59-0, 0)</f>
        <v>0</v>
      </c>
      <c r="AA61">
        <f>IF(Source!BI30=4,I52+I53+I55+I57+I58+I59,0)</f>
        <v>0</v>
      </c>
    </row>
    <row r="63" spans="1:28" ht="42.75" x14ac:dyDescent="0.2">
      <c r="A63" s="26" t="str">
        <f>Source!E32</f>
        <v>3</v>
      </c>
      <c r="B63" s="27" t="str">
        <f>Source!F32</f>
        <v>6.68-13-1</v>
      </c>
      <c r="C63" s="27" t="s">
        <v>33</v>
      </c>
      <c r="D63" s="28" t="str">
        <f>Source!H32</f>
        <v>1 Т</v>
      </c>
      <c r="E63" s="10">
        <f>Source!I32</f>
        <v>2.86</v>
      </c>
      <c r="F63" s="30"/>
      <c r="G63" s="29"/>
      <c r="H63" s="10"/>
      <c r="I63" s="30"/>
      <c r="J63" s="10"/>
      <c r="K63" s="30"/>
      <c r="Q63">
        <f>ROUND((Source!DN32/100)*ROUND((Source!AF32*Source!AV32)*Source!I32, 2), 2)</f>
        <v>0</v>
      </c>
      <c r="R63">
        <f>Source!X32</f>
        <v>0</v>
      </c>
      <c r="S63">
        <f>ROUND((Source!DO32/100)*ROUND((Source!AF32*Source!AV32)*Source!I32, 2), 2)</f>
        <v>0</v>
      </c>
      <c r="T63">
        <f>Source!Y32</f>
        <v>0</v>
      </c>
      <c r="U63">
        <f>ROUND((175/100)*ROUND((Source!AE32*Source!AV32)*Source!I32, 2), 2)</f>
        <v>7.75</v>
      </c>
      <c r="V63">
        <f>ROUND((157/100)*ROUND(Source!CS32*Source!I32, 2), 2)</f>
        <v>168.59</v>
      </c>
    </row>
    <row r="64" spans="1:28" x14ac:dyDescent="0.2">
      <c r="C64" s="42" t="str">
        <f>"Объем: "&amp;Source!I32&amp;"="&amp;Source!I29&amp;"*"&amp;"1,43"</f>
        <v>Объем: 2,86=2*1,43</v>
      </c>
    </row>
    <row r="65" spans="1:27" ht="14.25" x14ac:dyDescent="0.2">
      <c r="A65" s="26"/>
      <c r="B65" s="27"/>
      <c r="C65" s="27" t="s">
        <v>267</v>
      </c>
      <c r="D65" s="28"/>
      <c r="E65" s="10"/>
      <c r="F65" s="30">
        <f>Source!AM32</f>
        <v>8.86</v>
      </c>
      <c r="G65" s="29" t="str">
        <f>Source!DE32</f>
        <v/>
      </c>
      <c r="H65" s="10">
        <f>Source!AV32</f>
        <v>1.0469999999999999</v>
      </c>
      <c r="I65" s="30">
        <f>ROUND((Source!AD32*Source!AV32)*Source!I32, 2)</f>
        <v>26.53</v>
      </c>
      <c r="J65" s="10">
        <f>IF(Source!BB32&lt;&gt; 0, Source!BB32, 1)</f>
        <v>8.6300000000000008</v>
      </c>
      <c r="K65" s="30">
        <f>Source!Q32</f>
        <v>228.96</v>
      </c>
    </row>
    <row r="66" spans="1:27" ht="14.25" x14ac:dyDescent="0.2">
      <c r="A66" s="26"/>
      <c r="B66" s="27"/>
      <c r="C66" s="27" t="s">
        <v>268</v>
      </c>
      <c r="D66" s="28"/>
      <c r="E66" s="10"/>
      <c r="F66" s="30">
        <f>Source!AN32</f>
        <v>1.48</v>
      </c>
      <c r="G66" s="29" t="str">
        <f>Source!DF32</f>
        <v/>
      </c>
      <c r="H66" s="10">
        <f>Source!AV32</f>
        <v>1.0469999999999999</v>
      </c>
      <c r="I66" s="31">
        <f>ROUND((Source!AE32*Source!AV32)*Source!I32, 2)</f>
        <v>4.43</v>
      </c>
      <c r="J66" s="10">
        <f>IF(Source!BS32&lt;&gt; 0, Source!BS32, 1)</f>
        <v>24.23</v>
      </c>
      <c r="K66" s="31">
        <f>Source!R32</f>
        <v>107.38</v>
      </c>
      <c r="W66">
        <f>I66</f>
        <v>4.43</v>
      </c>
    </row>
    <row r="67" spans="1:27" ht="14.25" x14ac:dyDescent="0.2">
      <c r="A67" s="33"/>
      <c r="B67" s="34"/>
      <c r="C67" s="34" t="s">
        <v>272</v>
      </c>
      <c r="D67" s="35" t="s">
        <v>270</v>
      </c>
      <c r="E67" s="36">
        <f>175</f>
        <v>175</v>
      </c>
      <c r="F67" s="37"/>
      <c r="G67" s="38"/>
      <c r="H67" s="36"/>
      <c r="I67" s="37">
        <f>SUM(U63:U66)</f>
        <v>7.75</v>
      </c>
      <c r="J67" s="36">
        <f>157</f>
        <v>157</v>
      </c>
      <c r="K67" s="37">
        <f>SUM(V63:V66)</f>
        <v>168.59</v>
      </c>
    </row>
    <row r="68" spans="1:27" ht="15" x14ac:dyDescent="0.25">
      <c r="A68" s="39"/>
      <c r="B68" s="39"/>
      <c r="C68" s="40" t="s">
        <v>275</v>
      </c>
      <c r="D68" s="39"/>
      <c r="E68" s="39"/>
      <c r="F68" s="39"/>
      <c r="G68" s="39"/>
      <c r="H68" s="62">
        <f>I65+I67</f>
        <v>34.28</v>
      </c>
      <c r="I68" s="62"/>
      <c r="J68" s="62">
        <f>K65+K67</f>
        <v>397.55</v>
      </c>
      <c r="K68" s="62"/>
      <c r="O68" s="32">
        <f>I65+I67</f>
        <v>34.28</v>
      </c>
      <c r="P68" s="32">
        <f>K65+K67</f>
        <v>397.55</v>
      </c>
      <c r="X68">
        <f>IF(Source!BI32&lt;=1,I65+I67-0, 0)</f>
        <v>34.28</v>
      </c>
      <c r="Y68">
        <f>IF(Source!BI32=2,I65+I67-0, 0)</f>
        <v>0</v>
      </c>
      <c r="Z68">
        <f>IF(Source!BI32=3,I65+I67-0, 0)</f>
        <v>0</v>
      </c>
      <c r="AA68">
        <f>IF(Source!BI32=4,I65+I67,0)</f>
        <v>0</v>
      </c>
    </row>
    <row r="70" spans="1:27" ht="57" x14ac:dyDescent="0.2">
      <c r="A70" s="26" t="str">
        <f>Source!E33</f>
        <v>4</v>
      </c>
      <c r="B70" s="27" t="str">
        <f>Source!F33</f>
        <v>15.2-37-8</v>
      </c>
      <c r="C70" s="27" t="s">
        <v>41</v>
      </c>
      <c r="D70" s="28" t="str">
        <f>Source!H33</f>
        <v>т</v>
      </c>
      <c r="E70" s="10">
        <f>Source!I33</f>
        <v>2.86</v>
      </c>
      <c r="F70" s="30"/>
      <c r="G70" s="29"/>
      <c r="H70" s="10"/>
      <c r="I70" s="30"/>
      <c r="J70" s="10"/>
      <c r="K70" s="30"/>
      <c r="Q70">
        <f>ROUND((Source!DN33/100)*ROUND((Source!AF33*Source!AV33)*Source!I33, 2), 2)</f>
        <v>0</v>
      </c>
      <c r="R70">
        <f>Source!X33</f>
        <v>0</v>
      </c>
      <c r="S70">
        <f>ROUND((Source!DO33/100)*ROUND((Source!AF33*Source!AV33)*Source!I33, 2), 2)</f>
        <v>0</v>
      </c>
      <c r="T70">
        <f>Source!Y33</f>
        <v>0</v>
      </c>
      <c r="U70">
        <f>ROUND((175/100)*ROUND((Source!AE33*Source!AV33)*Source!I33, 2), 2)</f>
        <v>0</v>
      </c>
      <c r="V70">
        <f>ROUND((157/100)*ROUND(Source!CS33*Source!I33, 2), 2)</f>
        <v>0</v>
      </c>
    </row>
    <row r="71" spans="1:27" ht="14.25" x14ac:dyDescent="0.2">
      <c r="A71" s="33"/>
      <c r="B71" s="34"/>
      <c r="C71" s="34" t="s">
        <v>267</v>
      </c>
      <c r="D71" s="35"/>
      <c r="E71" s="36"/>
      <c r="F71" s="37">
        <f>Source!AM33</f>
        <v>36.49</v>
      </c>
      <c r="G71" s="38" t="str">
        <f>Source!DE33</f>
        <v/>
      </c>
      <c r="H71" s="36">
        <f>Source!AV33</f>
        <v>1</v>
      </c>
      <c r="I71" s="37">
        <f>ROUND((Source!AD33*Source!AV33)*Source!I33, 2)</f>
        <v>104.36</v>
      </c>
      <c r="J71" s="36">
        <f>IF(Source!BB33&lt;&gt; 0, Source!BB33, 1)</f>
        <v>10.48</v>
      </c>
      <c r="K71" s="37">
        <f>Source!Q33</f>
        <v>1093.71</v>
      </c>
    </row>
    <row r="72" spans="1:27" ht="15" x14ac:dyDescent="0.25">
      <c r="A72" s="39"/>
      <c r="B72" s="39"/>
      <c r="C72" s="40" t="s">
        <v>275</v>
      </c>
      <c r="D72" s="39"/>
      <c r="E72" s="39"/>
      <c r="F72" s="39"/>
      <c r="G72" s="39"/>
      <c r="H72" s="62">
        <f>I71</f>
        <v>104.36</v>
      </c>
      <c r="I72" s="62"/>
      <c r="J72" s="62">
        <f>K71</f>
        <v>1093.71</v>
      </c>
      <c r="K72" s="62"/>
      <c r="O72" s="32">
        <f>I71</f>
        <v>104.36</v>
      </c>
      <c r="P72" s="32">
        <f>K71</f>
        <v>1093.71</v>
      </c>
      <c r="X72">
        <f>IF(Source!BI33&lt;=1,I71-0, 0)</f>
        <v>0</v>
      </c>
      <c r="Y72">
        <f>IF(Source!BI33=2,I71-0, 0)</f>
        <v>0</v>
      </c>
      <c r="Z72">
        <f>IF(Source!BI33=3,I71-0, 0)</f>
        <v>0</v>
      </c>
      <c r="AA72">
        <f>IF(Source!BI33=4,I71,0)</f>
        <v>104.36</v>
      </c>
    </row>
    <row r="74" spans="1:27" ht="42.75" x14ac:dyDescent="0.2">
      <c r="A74" s="26" t="str">
        <f>Source!E34</f>
        <v>5</v>
      </c>
      <c r="B74" s="27" t="str">
        <f>Source!F34</f>
        <v>15.1-1102-01</v>
      </c>
      <c r="C74" s="27" t="s">
        <v>49</v>
      </c>
      <c r="D74" s="28" t="str">
        <f>Source!H34</f>
        <v>1 Т</v>
      </c>
      <c r="E74" s="10">
        <f>Source!I34</f>
        <v>2.86</v>
      </c>
      <c r="F74" s="30"/>
      <c r="G74" s="29"/>
      <c r="H74" s="10"/>
      <c r="I74" s="30"/>
      <c r="J74" s="10"/>
      <c r="K74" s="30"/>
      <c r="Q74">
        <f>ROUND((Source!DN34/100)*ROUND((Source!AF34*Source!AV34)*Source!I34, 2), 2)</f>
        <v>0</v>
      </c>
      <c r="R74">
        <f>Source!X34</f>
        <v>0</v>
      </c>
      <c r="S74">
        <f>ROUND((Source!DO34/100)*ROUND((Source!AF34*Source!AV34)*Source!I34, 2), 2)</f>
        <v>0</v>
      </c>
      <c r="T74">
        <f>Source!Y34</f>
        <v>0</v>
      </c>
      <c r="U74">
        <f>ROUND((175/100)*ROUND((Source!AE34*Source!AV34)*Source!I34, 2), 2)</f>
        <v>0</v>
      </c>
      <c r="V74">
        <f>ROUND((157/100)*ROUND(Source!CS34*Source!I34, 2), 2)</f>
        <v>0</v>
      </c>
    </row>
    <row r="75" spans="1:27" ht="14.25" x14ac:dyDescent="0.2">
      <c r="A75" s="33"/>
      <c r="B75" s="34"/>
      <c r="C75" s="34" t="s">
        <v>267</v>
      </c>
      <c r="D75" s="35"/>
      <c r="E75" s="36"/>
      <c r="F75" s="37">
        <f>Source!AM34</f>
        <v>12.61</v>
      </c>
      <c r="G75" s="38" t="str">
        <f>Source!DE34</f>
        <v/>
      </c>
      <c r="H75" s="36">
        <f>Source!AV34</f>
        <v>1</v>
      </c>
      <c r="I75" s="37">
        <f>ROUND((Source!AD34*Source!AV34)*Source!I34, 2)</f>
        <v>36.06</v>
      </c>
      <c r="J75" s="36">
        <f>IF(Source!BB34&lt;&gt; 0, Source!BB34, 1)</f>
        <v>7.63</v>
      </c>
      <c r="K75" s="37">
        <f>Source!Q34</f>
        <v>275.17</v>
      </c>
    </row>
    <row r="76" spans="1:27" ht="15" x14ac:dyDescent="0.25">
      <c r="A76" s="39"/>
      <c r="B76" s="39"/>
      <c r="C76" s="40" t="s">
        <v>275</v>
      </c>
      <c r="D76" s="39"/>
      <c r="E76" s="39"/>
      <c r="F76" s="39"/>
      <c r="G76" s="39"/>
      <c r="H76" s="62">
        <f>I75</f>
        <v>36.06</v>
      </c>
      <c r="I76" s="62"/>
      <c r="J76" s="62">
        <f>K75</f>
        <v>275.17</v>
      </c>
      <c r="K76" s="62"/>
      <c r="O76" s="32">
        <f>I75</f>
        <v>36.06</v>
      </c>
      <c r="P76" s="32">
        <f>K75</f>
        <v>275.17</v>
      </c>
      <c r="X76">
        <f>IF(Source!BI34&lt;=1,I75-0, 0)</f>
        <v>0</v>
      </c>
      <c r="Y76">
        <f>IF(Source!BI34=2,I75-0, 0)</f>
        <v>0</v>
      </c>
      <c r="Z76">
        <f>IF(Source!BI34=3,I75-0, 0)</f>
        <v>0</v>
      </c>
      <c r="AA76">
        <f>IF(Source!BI34=4,I75,0)</f>
        <v>36.06</v>
      </c>
    </row>
    <row r="79" spans="1:27" ht="15" x14ac:dyDescent="0.25">
      <c r="A79" s="59" t="str">
        <f>CONCATENATE("Итого по разделу: ",IF(Source!G36&lt;&gt;"Новый раздел", Source!G36, ""))</f>
        <v>Итого по разделу: Строительные работы</v>
      </c>
      <c r="B79" s="59"/>
      <c r="C79" s="59"/>
      <c r="D79" s="59"/>
      <c r="E79" s="59"/>
      <c r="F79" s="59"/>
      <c r="G79" s="59"/>
      <c r="H79" s="60">
        <f>SUM(O38:O78)</f>
        <v>720.43000000000006</v>
      </c>
      <c r="I79" s="61"/>
      <c r="J79" s="60">
        <f>SUM(P38:P78)</f>
        <v>8825.59</v>
      </c>
      <c r="K79" s="61"/>
    </row>
    <row r="80" spans="1:27" hidden="1" x14ac:dyDescent="0.2">
      <c r="A80" t="s">
        <v>277</v>
      </c>
      <c r="I80">
        <f>SUM(AC38:AC79)</f>
        <v>0</v>
      </c>
      <c r="J80">
        <f>SUM(AD38:AD79)</f>
        <v>0</v>
      </c>
    </row>
    <row r="81" spans="1:28" hidden="1" x14ac:dyDescent="0.2">
      <c r="A81" t="s">
        <v>278</v>
      </c>
      <c r="I81">
        <f>SUM(AE38:AE80)</f>
        <v>0</v>
      </c>
      <c r="J81">
        <f>SUM(AF38:AF80)</f>
        <v>0</v>
      </c>
    </row>
    <row r="83" spans="1:28" ht="16.5" x14ac:dyDescent="0.25">
      <c r="A83" s="63" t="str">
        <f>CONCATENATE("Раздел: ",IF(Source!G66&lt;&gt;"Новый раздел", Source!G66, ""))</f>
        <v>Раздел: Демонтажные работы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</row>
    <row r="84" spans="1:28" ht="71.25" x14ac:dyDescent="0.2">
      <c r="A84" s="26" t="str">
        <f>Source!E70</f>
        <v>6</v>
      </c>
      <c r="B84" s="27" t="str">
        <f>Source!F70</f>
        <v>4.8-42-3</v>
      </c>
      <c r="C84" s="27" t="s">
        <v>110</v>
      </c>
      <c r="D84" s="28" t="str">
        <f>Source!H70</f>
        <v>1  ШТ.</v>
      </c>
      <c r="E84" s="10">
        <f>Source!I70</f>
        <v>1</v>
      </c>
      <c r="F84" s="30"/>
      <c r="G84" s="29"/>
      <c r="H84" s="10"/>
      <c r="I84" s="30"/>
      <c r="J84" s="10"/>
      <c r="K84" s="30"/>
      <c r="Q84">
        <f>ROUND((Source!DN70/100)*ROUND((Source!AF70*Source!AV70)*Source!I70, 2), 2)</f>
        <v>603.79</v>
      </c>
      <c r="R84">
        <f>Source!X70</f>
        <v>11756.16</v>
      </c>
      <c r="S84">
        <f>ROUND((Source!DO70/100)*ROUND((Source!AF70*Source!AV70)*Source!I70, 2), 2)</f>
        <v>377.37</v>
      </c>
      <c r="T84">
        <f>Source!Y70</f>
        <v>5616.83</v>
      </c>
      <c r="U84">
        <f>ROUND((175/100)*ROUND((Source!AE70*Source!AV70)*Source!I70, 2), 2)</f>
        <v>191.64</v>
      </c>
      <c r="V84">
        <f>ROUND((157/100)*ROUND(Source!CS70*Source!I70, 2), 2)</f>
        <v>4165.71</v>
      </c>
    </row>
    <row r="85" spans="1:28" ht="14.25" x14ac:dyDescent="0.2">
      <c r="A85" s="26"/>
      <c r="B85" s="27"/>
      <c r="C85" s="27" t="s">
        <v>266</v>
      </c>
      <c r="D85" s="28"/>
      <c r="E85" s="10"/>
      <c r="F85" s="30">
        <f>Source!AO70</f>
        <v>514.9</v>
      </c>
      <c r="G85" s="29" t="str">
        <f>Source!DG70</f>
        <v/>
      </c>
      <c r="H85" s="10">
        <f>Source!AV70</f>
        <v>1.0469999999999999</v>
      </c>
      <c r="I85" s="30">
        <f>ROUND((Source!AF70*Source!AV70)*Source!I70, 2)</f>
        <v>539.1</v>
      </c>
      <c r="J85" s="10">
        <f>IF(Source!BA70&lt;&gt; 0, Source!BA70, 1)</f>
        <v>24.23</v>
      </c>
      <c r="K85" s="30">
        <f>Source!S70</f>
        <v>13062.4</v>
      </c>
      <c r="W85">
        <f>I85</f>
        <v>539.1</v>
      </c>
    </row>
    <row r="86" spans="1:28" ht="14.25" x14ac:dyDescent="0.2">
      <c r="A86" s="26"/>
      <c r="B86" s="27"/>
      <c r="C86" s="27" t="s">
        <v>267</v>
      </c>
      <c r="D86" s="28"/>
      <c r="E86" s="10"/>
      <c r="F86" s="30">
        <f>Source!AM70</f>
        <v>450.39</v>
      </c>
      <c r="G86" s="29" t="str">
        <f>Source!DE70</f>
        <v/>
      </c>
      <c r="H86" s="10">
        <f>Source!AV70</f>
        <v>1.0469999999999999</v>
      </c>
      <c r="I86" s="30">
        <f>ROUND((Source!AD70*Source!AV70)*Source!I70, 2)</f>
        <v>471.56</v>
      </c>
      <c r="J86" s="10">
        <f>IF(Source!BB70&lt;&gt; 0, Source!BB70, 1)</f>
        <v>9.85</v>
      </c>
      <c r="K86" s="30">
        <f>Source!Q70</f>
        <v>4644.8500000000004</v>
      </c>
    </row>
    <row r="87" spans="1:28" ht="14.25" x14ac:dyDescent="0.2">
      <c r="A87" s="26"/>
      <c r="B87" s="27"/>
      <c r="C87" s="27" t="s">
        <v>268</v>
      </c>
      <c r="D87" s="28"/>
      <c r="E87" s="10"/>
      <c r="F87" s="30">
        <f>Source!AN70</f>
        <v>104.59</v>
      </c>
      <c r="G87" s="29" t="str">
        <f>Source!DF70</f>
        <v/>
      </c>
      <c r="H87" s="10">
        <f>Source!AV70</f>
        <v>1.0469999999999999</v>
      </c>
      <c r="I87" s="31">
        <f>ROUND((Source!AE70*Source!AV70)*Source!I70, 2)</f>
        <v>109.51</v>
      </c>
      <c r="J87" s="10">
        <f>IF(Source!BS70&lt;&gt; 0, Source!BS70, 1)</f>
        <v>24.23</v>
      </c>
      <c r="K87" s="31">
        <f>Source!R70</f>
        <v>2653.32</v>
      </c>
      <c r="W87">
        <f>I87</f>
        <v>109.51</v>
      </c>
    </row>
    <row r="88" spans="1:28" ht="14.25" x14ac:dyDescent="0.2">
      <c r="A88" s="26"/>
      <c r="B88" s="27"/>
      <c r="C88" s="27" t="s">
        <v>276</v>
      </c>
      <c r="D88" s="28"/>
      <c r="E88" s="10"/>
      <c r="F88" s="30">
        <f>Source!AL70</f>
        <v>392</v>
      </c>
      <c r="G88" s="29" t="str">
        <f>Source!DD70</f>
        <v/>
      </c>
      <c r="H88" s="10">
        <f>Source!AW70</f>
        <v>1</v>
      </c>
      <c r="I88" s="30">
        <f>ROUND((Source!AC70*Source!AW70)*Source!I70, 2)</f>
        <v>392</v>
      </c>
      <c r="J88" s="10">
        <f>IF(Source!BC70&lt;&gt; 0, Source!BC70, 1)</f>
        <v>5.6</v>
      </c>
      <c r="K88" s="30">
        <f>Source!P70</f>
        <v>2195.1999999999998</v>
      </c>
    </row>
    <row r="89" spans="1:28" ht="14.25" x14ac:dyDescent="0.2">
      <c r="A89" s="26"/>
      <c r="B89" s="27"/>
      <c r="C89" s="27" t="s">
        <v>269</v>
      </c>
      <c r="D89" s="28" t="s">
        <v>270</v>
      </c>
      <c r="E89" s="10">
        <f>Source!DN70</f>
        <v>112</v>
      </c>
      <c r="F89" s="30"/>
      <c r="G89" s="29"/>
      <c r="H89" s="10"/>
      <c r="I89" s="30">
        <f>SUM(Q84:Q88)</f>
        <v>603.79</v>
      </c>
      <c r="J89" s="10">
        <f>Source!BZ70</f>
        <v>90</v>
      </c>
      <c r="K89" s="30">
        <f>SUM(R84:R88)</f>
        <v>11756.16</v>
      </c>
    </row>
    <row r="90" spans="1:28" ht="14.25" x14ac:dyDescent="0.2">
      <c r="A90" s="26"/>
      <c r="B90" s="27"/>
      <c r="C90" s="27" t="s">
        <v>271</v>
      </c>
      <c r="D90" s="28" t="s">
        <v>270</v>
      </c>
      <c r="E90" s="10">
        <f>Source!DO70</f>
        <v>70</v>
      </c>
      <c r="F90" s="30"/>
      <c r="G90" s="29"/>
      <c r="H90" s="10"/>
      <c r="I90" s="30">
        <f>SUM(S84:S89)</f>
        <v>377.37</v>
      </c>
      <c r="J90" s="10">
        <f>Source!CA70</f>
        <v>43</v>
      </c>
      <c r="K90" s="30">
        <f>SUM(T84:T89)</f>
        <v>5616.83</v>
      </c>
    </row>
    <row r="91" spans="1:28" ht="14.25" x14ac:dyDescent="0.2">
      <c r="A91" s="26"/>
      <c r="B91" s="27"/>
      <c r="C91" s="27" t="s">
        <v>272</v>
      </c>
      <c r="D91" s="28" t="s">
        <v>270</v>
      </c>
      <c r="E91" s="10">
        <f>175</f>
        <v>175</v>
      </c>
      <c r="F91" s="30"/>
      <c r="G91" s="29"/>
      <c r="H91" s="10"/>
      <c r="I91" s="30">
        <f>SUM(U84:U90)</f>
        <v>191.64</v>
      </c>
      <c r="J91" s="10">
        <f>157</f>
        <v>157</v>
      </c>
      <c r="K91" s="30">
        <f>SUM(V84:V90)</f>
        <v>4165.71</v>
      </c>
    </row>
    <row r="92" spans="1:28" ht="14.25" x14ac:dyDescent="0.2">
      <c r="A92" s="33"/>
      <c r="B92" s="34"/>
      <c r="C92" s="34" t="s">
        <v>273</v>
      </c>
      <c r="D92" s="35" t="s">
        <v>274</v>
      </c>
      <c r="E92" s="36">
        <f>Source!AQ70</f>
        <v>40.799999999999997</v>
      </c>
      <c r="F92" s="37"/>
      <c r="G92" s="38" t="str">
        <f>Source!DI70</f>
        <v/>
      </c>
      <c r="H92" s="36">
        <f>Source!AV70</f>
        <v>1.0469999999999999</v>
      </c>
      <c r="I92" s="37">
        <f>Source!U70</f>
        <v>42.717599999999997</v>
      </c>
      <c r="J92" s="36"/>
      <c r="K92" s="37"/>
      <c r="AB92" s="32">
        <f>I92</f>
        <v>42.717599999999997</v>
      </c>
    </row>
    <row r="93" spans="1:28" ht="15" x14ac:dyDescent="0.25">
      <c r="A93" s="39"/>
      <c r="B93" s="39"/>
      <c r="C93" s="40" t="s">
        <v>275</v>
      </c>
      <c r="D93" s="39"/>
      <c r="E93" s="39"/>
      <c r="F93" s="39"/>
      <c r="G93" s="39"/>
      <c r="H93" s="62">
        <f>I85+I86+I88+I89+I90+I91</f>
        <v>2575.46</v>
      </c>
      <c r="I93" s="62"/>
      <c r="J93" s="62">
        <f>K85+K86+K88+K89+K90+K91</f>
        <v>41441.15</v>
      </c>
      <c r="K93" s="62"/>
      <c r="O93" s="32">
        <f>I85+I86+I88+I89+I90+I91</f>
        <v>2575.46</v>
      </c>
      <c r="P93" s="32">
        <f>K85+K86+K88+K89+K90+K91</f>
        <v>41441.15</v>
      </c>
      <c r="X93">
        <f>IF(Source!BI70&lt;=1,I85+I86+I88+I89+I90+I91-0, 0)</f>
        <v>0</v>
      </c>
      <c r="Y93">
        <f>IF(Source!BI70=2,I85+I86+I88+I89+I90+I91-0, 0)</f>
        <v>2575.46</v>
      </c>
      <c r="Z93">
        <f>IF(Source!BI70=3,I85+I86+I88+I89+I90+I91-0, 0)</f>
        <v>0</v>
      </c>
      <c r="AA93">
        <f>IF(Source!BI70=4,I85+I86+I88+I89+I90+I91,0)</f>
        <v>0</v>
      </c>
    </row>
    <row r="95" spans="1:28" ht="28.5" x14ac:dyDescent="0.2">
      <c r="A95" s="26" t="str">
        <f>Source!E71</f>
        <v>7</v>
      </c>
      <c r="B95" s="27" t="str">
        <f>Source!F71</f>
        <v>4.8-120-1</v>
      </c>
      <c r="C95" s="27" t="s">
        <v>118</v>
      </c>
      <c r="D95" s="28" t="str">
        <f>Source!H71</f>
        <v>1 Т</v>
      </c>
      <c r="E95" s="10">
        <f>Source!I71</f>
        <v>3.19</v>
      </c>
      <c r="F95" s="30"/>
      <c r="G95" s="29"/>
      <c r="H95" s="10"/>
      <c r="I95" s="30"/>
      <c r="J95" s="10"/>
      <c r="K95" s="30"/>
      <c r="Q95">
        <f>ROUND((Source!DN71/100)*ROUND((Source!AF71*Source!AV71)*Source!I71, 2), 2)</f>
        <v>108.74</v>
      </c>
      <c r="R95">
        <f>Source!X71</f>
        <v>2117.2600000000002</v>
      </c>
      <c r="S95">
        <f>ROUND((Source!DO71/100)*ROUND((Source!AF71*Source!AV71)*Source!I71, 2), 2)</f>
        <v>67.959999999999994</v>
      </c>
      <c r="T95">
        <f>Source!Y71</f>
        <v>1011.58</v>
      </c>
      <c r="U95">
        <f>ROUND((175/100)*ROUND((Source!AE71*Source!AV71)*Source!I71, 2), 2)</f>
        <v>221.85</v>
      </c>
      <c r="V95">
        <f>ROUND((157/100)*ROUND(Source!CS71*Source!I71, 2), 2)</f>
        <v>4822.58</v>
      </c>
    </row>
    <row r="96" spans="1:28" x14ac:dyDescent="0.2">
      <c r="C96" s="42" t="str">
        <f>"Объем: "&amp;Source!I71&amp;"=3190/"&amp;"1000"</f>
        <v>Объем: 3,19=3190/1000</v>
      </c>
    </row>
    <row r="97" spans="1:28" ht="14.25" x14ac:dyDescent="0.2">
      <c r="A97" s="26"/>
      <c r="B97" s="27"/>
      <c r="C97" s="27" t="s">
        <v>266</v>
      </c>
      <c r="D97" s="28"/>
      <c r="E97" s="10"/>
      <c r="F97" s="30">
        <f>Source!AO71</f>
        <v>28</v>
      </c>
      <c r="G97" s="29" t="str">
        <f>Source!DG71</f>
        <v/>
      </c>
      <c r="H97" s="10">
        <f>Source!AV71</f>
        <v>1.087</v>
      </c>
      <c r="I97" s="30">
        <f>ROUND((Source!AF71*Source!AV71)*Source!I71, 2)</f>
        <v>97.09</v>
      </c>
      <c r="J97" s="10">
        <f>IF(Source!BA71&lt;&gt; 0, Source!BA71, 1)</f>
        <v>24.23</v>
      </c>
      <c r="K97" s="30">
        <f>Source!S71</f>
        <v>2352.5100000000002</v>
      </c>
      <c r="W97">
        <f>I97</f>
        <v>97.09</v>
      </c>
    </row>
    <row r="98" spans="1:28" ht="14.25" x14ac:dyDescent="0.2">
      <c r="A98" s="26"/>
      <c r="B98" s="27"/>
      <c r="C98" s="27" t="s">
        <v>267</v>
      </c>
      <c r="D98" s="28"/>
      <c r="E98" s="10"/>
      <c r="F98" s="30">
        <f>Source!AM71</f>
        <v>176.35</v>
      </c>
      <c r="G98" s="29" t="str">
        <f>Source!DE71</f>
        <v/>
      </c>
      <c r="H98" s="10">
        <f>Source!AV71</f>
        <v>1.087</v>
      </c>
      <c r="I98" s="30">
        <f>ROUND((Source!AD71*Source!AV71)*Source!I71, 2)</f>
        <v>611.5</v>
      </c>
      <c r="J98" s="10">
        <f>IF(Source!BB71&lt;&gt; 0, Source!BB71, 1)</f>
        <v>9.3800000000000008</v>
      </c>
      <c r="K98" s="30">
        <f>Source!Q71</f>
        <v>5735.86</v>
      </c>
    </row>
    <row r="99" spans="1:28" ht="14.25" x14ac:dyDescent="0.2">
      <c r="A99" s="26"/>
      <c r="B99" s="27"/>
      <c r="C99" s="27" t="s">
        <v>268</v>
      </c>
      <c r="D99" s="28"/>
      <c r="E99" s="10"/>
      <c r="F99" s="30">
        <f>Source!AN71</f>
        <v>36.56</v>
      </c>
      <c r="G99" s="29" t="str">
        <f>Source!DF71</f>
        <v/>
      </c>
      <c r="H99" s="10">
        <f>Source!AV71</f>
        <v>1.087</v>
      </c>
      <c r="I99" s="31">
        <f>ROUND((Source!AE71*Source!AV71)*Source!I71, 2)</f>
        <v>126.77</v>
      </c>
      <c r="J99" s="10">
        <f>IF(Source!BS71&lt;&gt; 0, Source!BS71, 1)</f>
        <v>24.23</v>
      </c>
      <c r="K99" s="31">
        <f>Source!R71</f>
        <v>3071.71</v>
      </c>
      <c r="W99">
        <f>I99</f>
        <v>126.77</v>
      </c>
    </row>
    <row r="100" spans="1:28" ht="14.25" x14ac:dyDescent="0.2">
      <c r="A100" s="26"/>
      <c r="B100" s="27"/>
      <c r="C100" s="27" t="s">
        <v>269</v>
      </c>
      <c r="D100" s="28" t="s">
        <v>270</v>
      </c>
      <c r="E100" s="10">
        <f>Source!DN71</f>
        <v>112</v>
      </c>
      <c r="F100" s="30"/>
      <c r="G100" s="29"/>
      <c r="H100" s="10"/>
      <c r="I100" s="30">
        <f>SUM(Q95:Q99)</f>
        <v>108.74</v>
      </c>
      <c r="J100" s="10">
        <f>Source!BZ71</f>
        <v>90</v>
      </c>
      <c r="K100" s="30">
        <f>SUM(R95:R99)</f>
        <v>2117.2600000000002</v>
      </c>
    </row>
    <row r="101" spans="1:28" ht="14.25" x14ac:dyDescent="0.2">
      <c r="A101" s="26"/>
      <c r="B101" s="27"/>
      <c r="C101" s="27" t="s">
        <v>271</v>
      </c>
      <c r="D101" s="28" t="s">
        <v>270</v>
      </c>
      <c r="E101" s="10">
        <f>Source!DO71</f>
        <v>70</v>
      </c>
      <c r="F101" s="30"/>
      <c r="G101" s="29"/>
      <c r="H101" s="10"/>
      <c r="I101" s="30">
        <f>SUM(S95:S100)</f>
        <v>67.959999999999994</v>
      </c>
      <c r="J101" s="10">
        <f>Source!CA71</f>
        <v>43</v>
      </c>
      <c r="K101" s="30">
        <f>SUM(T95:T100)</f>
        <v>1011.58</v>
      </c>
    </row>
    <row r="102" spans="1:28" ht="14.25" x14ac:dyDescent="0.2">
      <c r="A102" s="26"/>
      <c r="B102" s="27"/>
      <c r="C102" s="27" t="s">
        <v>272</v>
      </c>
      <c r="D102" s="28" t="s">
        <v>270</v>
      </c>
      <c r="E102" s="10">
        <f>175</f>
        <v>175</v>
      </c>
      <c r="F102" s="30"/>
      <c r="G102" s="29"/>
      <c r="H102" s="10"/>
      <c r="I102" s="30">
        <f>SUM(U95:U101)</f>
        <v>221.85</v>
      </c>
      <c r="J102" s="10">
        <f>157</f>
        <v>157</v>
      </c>
      <c r="K102" s="30">
        <f>SUM(V95:V101)</f>
        <v>4822.58</v>
      </c>
    </row>
    <row r="103" spans="1:28" ht="14.25" x14ac:dyDescent="0.2">
      <c r="A103" s="33"/>
      <c r="B103" s="34"/>
      <c r="C103" s="34" t="s">
        <v>273</v>
      </c>
      <c r="D103" s="35" t="s">
        <v>274</v>
      </c>
      <c r="E103" s="36">
        <f>Source!AQ71</f>
        <v>2.74</v>
      </c>
      <c r="F103" s="37"/>
      <c r="G103" s="38" t="str">
        <f>Source!DI71</f>
        <v/>
      </c>
      <c r="H103" s="36">
        <f>Source!AV71</f>
        <v>1.087</v>
      </c>
      <c r="I103" s="37">
        <f>Source!U71</f>
        <v>9.5010321999999992</v>
      </c>
      <c r="J103" s="36"/>
      <c r="K103" s="37"/>
      <c r="AB103" s="32">
        <f>I103</f>
        <v>9.5010321999999992</v>
      </c>
    </row>
    <row r="104" spans="1:28" ht="15" x14ac:dyDescent="0.25">
      <c r="A104" s="39"/>
      <c r="B104" s="39"/>
      <c r="C104" s="40" t="s">
        <v>275</v>
      </c>
      <c r="D104" s="39"/>
      <c r="E104" s="39"/>
      <c r="F104" s="39"/>
      <c r="G104" s="39"/>
      <c r="H104" s="62">
        <f>I97+I98+I100+I101+I102</f>
        <v>1107.1400000000001</v>
      </c>
      <c r="I104" s="62"/>
      <c r="J104" s="62">
        <f>K97+K98+K100+K101+K102</f>
        <v>16039.79</v>
      </c>
      <c r="K104" s="62"/>
      <c r="O104" s="32">
        <f>I97+I98+I100+I101+I102</f>
        <v>1107.1400000000001</v>
      </c>
      <c r="P104" s="32">
        <f>K97+K98+K100+K101+K102</f>
        <v>16039.79</v>
      </c>
      <c r="X104">
        <f>IF(Source!BI71&lt;=1,I97+I98+I100+I101+I102-0, 0)</f>
        <v>0</v>
      </c>
      <c r="Y104">
        <f>IF(Source!BI71=2,I97+I98+I100+I101+I102-0, 0)</f>
        <v>1107.1400000000001</v>
      </c>
      <c r="Z104">
        <f>IF(Source!BI71=3,I97+I98+I100+I101+I102-0, 0)</f>
        <v>0</v>
      </c>
      <c r="AA104">
        <f>IF(Source!BI71=4,I97+I98+I100+I101+I102,0)</f>
        <v>0</v>
      </c>
    </row>
    <row r="106" spans="1:28" ht="39.75" x14ac:dyDescent="0.2">
      <c r="A106" s="33" t="str">
        <f>Source!E72</f>
        <v>8</v>
      </c>
      <c r="B106" s="34" t="str">
        <f>Source!F72</f>
        <v>счёт</v>
      </c>
      <c r="C106" s="34" t="s">
        <v>279</v>
      </c>
      <c r="D106" s="35" t="str">
        <f>Source!H72</f>
        <v>т</v>
      </c>
      <c r="E106" s="36">
        <f>Source!I72</f>
        <v>3.19</v>
      </c>
      <c r="F106" s="37">
        <f>Source!AL72</f>
        <v>10358.43</v>
      </c>
      <c r="G106" s="38" t="str">
        <f>Source!DD72</f>
        <v/>
      </c>
      <c r="H106" s="36">
        <f>Source!AW72</f>
        <v>1</v>
      </c>
      <c r="I106" s="37">
        <f>ROUND((Source!AC72*Source!AW72)*Source!I72, 2)</f>
        <v>33043.39</v>
      </c>
      <c r="J106" s="36">
        <f>IF(Source!BC72&lt;&gt; 0, Source!BC72, 1)</f>
        <v>5.58</v>
      </c>
      <c r="K106" s="37">
        <f>Source!P72</f>
        <v>184382.13</v>
      </c>
      <c r="Q106">
        <f>ROUND((Source!DN72/100)*ROUND((Source!AF72*Source!AV72)*Source!I72, 2), 2)</f>
        <v>0</v>
      </c>
      <c r="R106">
        <f>Source!X72</f>
        <v>0</v>
      </c>
      <c r="S106">
        <f>ROUND((Source!DO72/100)*ROUND((Source!AF72*Source!AV72)*Source!I72, 2), 2)</f>
        <v>0</v>
      </c>
      <c r="T106">
        <f>Source!Y72</f>
        <v>0</v>
      </c>
      <c r="U106">
        <f>ROUND((175/100)*ROUND((Source!AE72*Source!AV72)*Source!I72, 2), 2)</f>
        <v>0</v>
      </c>
      <c r="V106">
        <f>ROUND((157/100)*ROUND(Source!CS72*Source!I72, 2), 2)</f>
        <v>0</v>
      </c>
    </row>
    <row r="107" spans="1:28" ht="15" x14ac:dyDescent="0.25">
      <c r="A107" s="39"/>
      <c r="B107" s="39"/>
      <c r="C107" s="40" t="s">
        <v>275</v>
      </c>
      <c r="D107" s="39"/>
      <c r="E107" s="39"/>
      <c r="F107" s="39"/>
      <c r="G107" s="39"/>
      <c r="H107" s="62">
        <f>I106</f>
        <v>33043.39</v>
      </c>
      <c r="I107" s="62"/>
      <c r="J107" s="62">
        <f>K106</f>
        <v>184382.13</v>
      </c>
      <c r="K107" s="62"/>
      <c r="O107" s="32">
        <f>I106</f>
        <v>33043.39</v>
      </c>
      <c r="P107" s="32">
        <f>K106</f>
        <v>184382.13</v>
      </c>
      <c r="X107">
        <f>IF(Source!BI72&lt;=1,I106-0, 0)</f>
        <v>33043.39</v>
      </c>
      <c r="Y107">
        <f>IF(Source!BI72=2,I106-0, 0)</f>
        <v>0</v>
      </c>
      <c r="Z107">
        <f>IF(Source!BI72=3,I106-0, 0)</f>
        <v>0</v>
      </c>
      <c r="AA107">
        <f>IF(Source!BI72=4,I106,0)</f>
        <v>0</v>
      </c>
    </row>
    <row r="110" spans="1:28" ht="15" x14ac:dyDescent="0.25">
      <c r="A110" s="59" t="str">
        <f>CONCATENATE("Итого по разделу: ",IF(Source!G74&lt;&gt;"Новый раздел", Source!G74, ""))</f>
        <v>Итого по разделу: Демонтажные работы</v>
      </c>
      <c r="B110" s="59"/>
      <c r="C110" s="59"/>
      <c r="D110" s="59"/>
      <c r="E110" s="59"/>
      <c r="F110" s="59"/>
      <c r="G110" s="59"/>
      <c r="H110" s="60">
        <f>SUM(O83:O109)</f>
        <v>36725.99</v>
      </c>
      <c r="I110" s="61"/>
      <c r="J110" s="60">
        <f>SUM(P83:P109)</f>
        <v>241863.07</v>
      </c>
      <c r="K110" s="61"/>
    </row>
    <row r="111" spans="1:28" hidden="1" x14ac:dyDescent="0.2">
      <c r="A111" t="s">
        <v>277</v>
      </c>
      <c r="I111">
        <f>SUM(AC83:AC110)</f>
        <v>0</v>
      </c>
      <c r="J111">
        <f>SUM(AD83:AD110)</f>
        <v>0</v>
      </c>
    </row>
    <row r="112" spans="1:28" hidden="1" x14ac:dyDescent="0.2">
      <c r="A112" t="s">
        <v>278</v>
      </c>
      <c r="I112">
        <f>SUM(AE83:AE111)</f>
        <v>0</v>
      </c>
      <c r="J112">
        <f>SUM(AF83:AF111)</f>
        <v>0</v>
      </c>
    </row>
    <row r="114" spans="1:28" ht="16.5" x14ac:dyDescent="0.25">
      <c r="A114" s="63" t="str">
        <f>CONCATENATE("Раздел: ",IF(Source!G104&lt;&gt;"Новый раздел", Source!G104, ""))</f>
        <v>Раздел: Монтажные работы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</row>
    <row r="116" spans="1:28" ht="15" x14ac:dyDescent="0.25">
      <c r="B116" s="64" t="str">
        <f>Source!G108</f>
        <v>монтаж трансформатора</v>
      </c>
      <c r="C116" s="64"/>
      <c r="D116" s="64"/>
      <c r="E116" s="64"/>
      <c r="F116" s="64"/>
      <c r="G116" s="64"/>
      <c r="H116" s="64"/>
      <c r="I116" s="64"/>
      <c r="J116" s="64"/>
    </row>
    <row r="117" spans="1:28" ht="71.25" x14ac:dyDescent="0.2">
      <c r="A117" s="26" t="str">
        <f>Source!E109</f>
        <v>9</v>
      </c>
      <c r="B117" s="27" t="str">
        <f>Source!F109</f>
        <v>4.8-42-3</v>
      </c>
      <c r="C117" s="27" t="s">
        <v>110</v>
      </c>
      <c r="D117" s="28" t="str">
        <f>Source!H109</f>
        <v>1  ШТ.</v>
      </c>
      <c r="E117" s="10">
        <f>Source!I109</f>
        <v>1</v>
      </c>
      <c r="F117" s="30"/>
      <c r="G117" s="29"/>
      <c r="H117" s="10"/>
      <c r="I117" s="30"/>
      <c r="J117" s="10"/>
      <c r="K117" s="30"/>
      <c r="Q117">
        <f>ROUND((Source!DN109/100)*ROUND((Source!AF109*Source!AV109)*Source!I109, 2), 2)</f>
        <v>603.79</v>
      </c>
      <c r="R117">
        <f>Source!X109</f>
        <v>11756.16</v>
      </c>
      <c r="S117">
        <f>ROUND((Source!DO109/100)*ROUND((Source!AF109*Source!AV109)*Source!I109, 2), 2)</f>
        <v>377.37</v>
      </c>
      <c r="T117">
        <f>Source!Y109</f>
        <v>5616.83</v>
      </c>
      <c r="U117">
        <f>ROUND((175/100)*ROUND((Source!AE109*Source!AV109)*Source!I109, 2), 2)</f>
        <v>191.64</v>
      </c>
      <c r="V117">
        <f>ROUND((157/100)*ROUND(Source!CS109*Source!I109, 2), 2)</f>
        <v>4165.71</v>
      </c>
    </row>
    <row r="118" spans="1:28" ht="14.25" x14ac:dyDescent="0.2">
      <c r="A118" s="26"/>
      <c r="B118" s="27"/>
      <c r="C118" s="27" t="s">
        <v>266</v>
      </c>
      <c r="D118" s="28"/>
      <c r="E118" s="10"/>
      <c r="F118" s="30">
        <f>Source!AO109</f>
        <v>514.9</v>
      </c>
      <c r="G118" s="29" t="str">
        <f>Source!DG109</f>
        <v/>
      </c>
      <c r="H118" s="10">
        <f>Source!AV109</f>
        <v>1.0469999999999999</v>
      </c>
      <c r="I118" s="30">
        <f>ROUND((Source!AF109*Source!AV109)*Source!I109, 2)</f>
        <v>539.1</v>
      </c>
      <c r="J118" s="10">
        <f>IF(Source!BA109&lt;&gt; 0, Source!BA109, 1)</f>
        <v>24.23</v>
      </c>
      <c r="K118" s="30">
        <f>Source!S109</f>
        <v>13062.4</v>
      </c>
      <c r="W118">
        <f>I118</f>
        <v>539.1</v>
      </c>
    </row>
    <row r="119" spans="1:28" ht="14.25" x14ac:dyDescent="0.2">
      <c r="A119" s="26"/>
      <c r="B119" s="27"/>
      <c r="C119" s="27" t="s">
        <v>267</v>
      </c>
      <c r="D119" s="28"/>
      <c r="E119" s="10"/>
      <c r="F119" s="30">
        <f>Source!AM109</f>
        <v>450.39</v>
      </c>
      <c r="G119" s="29" t="str">
        <f>Source!DE109</f>
        <v/>
      </c>
      <c r="H119" s="10">
        <f>Source!AV109</f>
        <v>1.0469999999999999</v>
      </c>
      <c r="I119" s="30">
        <f>ROUND((Source!AD109*Source!AV109)*Source!I109, 2)</f>
        <v>471.56</v>
      </c>
      <c r="J119" s="10">
        <f>IF(Source!BB109&lt;&gt; 0, Source!BB109, 1)</f>
        <v>9.85</v>
      </c>
      <c r="K119" s="30">
        <f>Source!Q109</f>
        <v>4644.8500000000004</v>
      </c>
    </row>
    <row r="120" spans="1:28" ht="14.25" x14ac:dyDescent="0.2">
      <c r="A120" s="26"/>
      <c r="B120" s="27"/>
      <c r="C120" s="27" t="s">
        <v>268</v>
      </c>
      <c r="D120" s="28"/>
      <c r="E120" s="10"/>
      <c r="F120" s="30">
        <f>Source!AN109</f>
        <v>104.59</v>
      </c>
      <c r="G120" s="29" t="str">
        <f>Source!DF109</f>
        <v/>
      </c>
      <c r="H120" s="10">
        <f>Source!AV109</f>
        <v>1.0469999999999999</v>
      </c>
      <c r="I120" s="31">
        <f>ROUND((Source!AE109*Source!AV109)*Source!I109, 2)</f>
        <v>109.51</v>
      </c>
      <c r="J120" s="10">
        <f>IF(Source!BS109&lt;&gt; 0, Source!BS109, 1)</f>
        <v>24.23</v>
      </c>
      <c r="K120" s="31">
        <f>Source!R109</f>
        <v>2653.32</v>
      </c>
      <c r="W120">
        <f>I120</f>
        <v>109.51</v>
      </c>
    </row>
    <row r="121" spans="1:28" ht="14.25" x14ac:dyDescent="0.2">
      <c r="A121" s="26"/>
      <c r="B121" s="27"/>
      <c r="C121" s="27" t="s">
        <v>276</v>
      </c>
      <c r="D121" s="28"/>
      <c r="E121" s="10"/>
      <c r="F121" s="30">
        <f>Source!AL109</f>
        <v>392</v>
      </c>
      <c r="G121" s="29" t="str">
        <f>Source!DD109</f>
        <v/>
      </c>
      <c r="H121" s="10">
        <f>Source!AW109</f>
        <v>1</v>
      </c>
      <c r="I121" s="30">
        <f>ROUND((Source!AC109*Source!AW109)*Source!I109, 2)</f>
        <v>392</v>
      </c>
      <c r="J121" s="10">
        <f>IF(Source!BC109&lt;&gt; 0, Source!BC109, 1)</f>
        <v>5.6</v>
      </c>
      <c r="K121" s="30">
        <f>Source!P109</f>
        <v>2195.1999999999998</v>
      </c>
    </row>
    <row r="122" spans="1:28" ht="14.25" x14ac:dyDescent="0.2">
      <c r="A122" s="26"/>
      <c r="B122" s="27"/>
      <c r="C122" s="27" t="s">
        <v>269</v>
      </c>
      <c r="D122" s="28" t="s">
        <v>270</v>
      </c>
      <c r="E122" s="10">
        <f>Source!DN109</f>
        <v>112</v>
      </c>
      <c r="F122" s="30"/>
      <c r="G122" s="29"/>
      <c r="H122" s="10"/>
      <c r="I122" s="30">
        <f>SUM(Q117:Q121)</f>
        <v>603.79</v>
      </c>
      <c r="J122" s="10">
        <f>Source!BZ109</f>
        <v>90</v>
      </c>
      <c r="K122" s="30">
        <f>SUM(R117:R121)</f>
        <v>11756.16</v>
      </c>
    </row>
    <row r="123" spans="1:28" ht="14.25" x14ac:dyDescent="0.2">
      <c r="A123" s="26"/>
      <c r="B123" s="27"/>
      <c r="C123" s="27" t="s">
        <v>271</v>
      </c>
      <c r="D123" s="28" t="s">
        <v>270</v>
      </c>
      <c r="E123" s="10">
        <f>Source!DO109</f>
        <v>70</v>
      </c>
      <c r="F123" s="30"/>
      <c r="G123" s="29"/>
      <c r="H123" s="10"/>
      <c r="I123" s="30">
        <f>SUM(S117:S122)</f>
        <v>377.37</v>
      </c>
      <c r="J123" s="10">
        <f>Source!CA109</f>
        <v>43</v>
      </c>
      <c r="K123" s="30">
        <f>SUM(T117:T122)</f>
        <v>5616.83</v>
      </c>
    </row>
    <row r="124" spans="1:28" ht="14.25" x14ac:dyDescent="0.2">
      <c r="A124" s="26"/>
      <c r="B124" s="27"/>
      <c r="C124" s="27" t="s">
        <v>272</v>
      </c>
      <c r="D124" s="28" t="s">
        <v>270</v>
      </c>
      <c r="E124" s="10">
        <f>175</f>
        <v>175</v>
      </c>
      <c r="F124" s="30"/>
      <c r="G124" s="29"/>
      <c r="H124" s="10"/>
      <c r="I124" s="30">
        <f>SUM(U117:U123)</f>
        <v>191.64</v>
      </c>
      <c r="J124" s="10">
        <f>157</f>
        <v>157</v>
      </c>
      <c r="K124" s="30">
        <f>SUM(V117:V123)</f>
        <v>4165.71</v>
      </c>
    </row>
    <row r="125" spans="1:28" ht="14.25" x14ac:dyDescent="0.2">
      <c r="A125" s="33"/>
      <c r="B125" s="34"/>
      <c r="C125" s="34" t="s">
        <v>273</v>
      </c>
      <c r="D125" s="35" t="s">
        <v>274</v>
      </c>
      <c r="E125" s="36">
        <f>Source!AQ109</f>
        <v>40.799999999999997</v>
      </c>
      <c r="F125" s="37"/>
      <c r="G125" s="38" t="str">
        <f>Source!DI109</f>
        <v/>
      </c>
      <c r="H125" s="36">
        <f>Source!AV109</f>
        <v>1.0469999999999999</v>
      </c>
      <c r="I125" s="37">
        <f>Source!U109</f>
        <v>42.717599999999997</v>
      </c>
      <c r="J125" s="36"/>
      <c r="K125" s="37"/>
      <c r="AB125" s="32">
        <f>I125</f>
        <v>42.717599999999997</v>
      </c>
    </row>
    <row r="126" spans="1:28" ht="15" x14ac:dyDescent="0.25">
      <c r="A126" s="39"/>
      <c r="B126" s="39"/>
      <c r="C126" s="40" t="s">
        <v>275</v>
      </c>
      <c r="D126" s="39"/>
      <c r="E126" s="39"/>
      <c r="F126" s="39"/>
      <c r="G126" s="39"/>
      <c r="H126" s="62">
        <f>I118+I119+I121+I122+I123+I124</f>
        <v>2575.46</v>
      </c>
      <c r="I126" s="62"/>
      <c r="J126" s="62">
        <f>K118+K119+K121+K122+K123+K124</f>
        <v>41441.15</v>
      </c>
      <c r="K126" s="62"/>
      <c r="O126" s="32">
        <f>I118+I119+I121+I122+I123+I124</f>
        <v>2575.46</v>
      </c>
      <c r="P126" s="32">
        <f>K118+K119+K121+K122+K123+K124</f>
        <v>41441.15</v>
      </c>
      <c r="X126">
        <f>IF(Source!BI109&lt;=1,I118+I119+I121+I122+I123+I124-0, 0)</f>
        <v>0</v>
      </c>
      <c r="Y126">
        <f>IF(Source!BI109=2,I118+I119+I121+I122+I123+I124-0, 0)</f>
        <v>2575.46</v>
      </c>
      <c r="Z126">
        <f>IF(Source!BI109=3,I118+I119+I121+I122+I123+I124-0, 0)</f>
        <v>0</v>
      </c>
      <c r="AA126">
        <f>IF(Source!BI109=4,I118+I119+I121+I122+I123+I124,0)</f>
        <v>0</v>
      </c>
    </row>
    <row r="128" spans="1:28" ht="68.25" x14ac:dyDescent="0.2">
      <c r="A128" s="43" t="str">
        <f>Source!E110</f>
        <v>10</v>
      </c>
      <c r="B128" s="44" t="str">
        <f>Source!F110</f>
        <v>счёт</v>
      </c>
      <c r="C128" s="44" t="s">
        <v>280</v>
      </c>
      <c r="D128" s="45" t="str">
        <f>Source!H110</f>
        <v>шт.</v>
      </c>
      <c r="E128" s="46">
        <f>Source!I110</f>
        <v>1</v>
      </c>
      <c r="F128" s="47">
        <f>Source!AL110</f>
        <v>77910.31</v>
      </c>
      <c r="G128" s="48" t="str">
        <f>Source!DD110</f>
        <v/>
      </c>
      <c r="H128" s="46">
        <f>Source!AW110</f>
        <v>1</v>
      </c>
      <c r="I128" s="47">
        <f>ROUND((Source!AC110*Source!AW110)*Source!I110, 2)</f>
        <v>77910.31</v>
      </c>
      <c r="J128" s="46">
        <f>IF(Source!BC110&lt;&gt; 0, Source!BC110, 1)</f>
        <v>4.5599999999999996</v>
      </c>
      <c r="K128" s="47">
        <f>Source!P110</f>
        <v>355271.01</v>
      </c>
      <c r="Q128">
        <f>ROUND((Source!DN110/100)*ROUND((Source!AF110*Source!AV110)*Source!I110, 2), 2)</f>
        <v>0</v>
      </c>
      <c r="R128">
        <f>Source!X110</f>
        <v>0</v>
      </c>
      <c r="S128">
        <f>ROUND((Source!DO110/100)*ROUND((Source!AF110*Source!AV110)*Source!I110, 2), 2)</f>
        <v>0</v>
      </c>
      <c r="T128">
        <f>Source!Y110</f>
        <v>0</v>
      </c>
      <c r="U128">
        <f>ROUND((175/100)*ROUND((Source!AE110*Source!AV110)*Source!I110, 2), 2)</f>
        <v>0</v>
      </c>
      <c r="V128">
        <f>ROUND((157/100)*ROUND(Source!CS110*Source!I110, 2), 2)</f>
        <v>0</v>
      </c>
    </row>
    <row r="129" spans="1:28" ht="15" x14ac:dyDescent="0.25">
      <c r="A129" s="49"/>
      <c r="B129" s="49"/>
      <c r="C129" s="50" t="s">
        <v>275</v>
      </c>
      <c r="D129" s="49"/>
      <c r="E129" s="49"/>
      <c r="F129" s="49"/>
      <c r="G129" s="49"/>
      <c r="H129" s="65">
        <f>I128</f>
        <v>77910.31</v>
      </c>
      <c r="I129" s="65"/>
      <c r="J129" s="65">
        <f>K128</f>
        <v>355271.01</v>
      </c>
      <c r="K129" s="65"/>
      <c r="O129" s="32">
        <f>I128</f>
        <v>77910.31</v>
      </c>
      <c r="P129" s="32">
        <f>K128</f>
        <v>355271.01</v>
      </c>
      <c r="X129">
        <f>IF(Source!BI110&lt;=1,I128-0, 0)</f>
        <v>0</v>
      </c>
      <c r="Y129">
        <f>IF(Source!BI110=2,I128-0, 0)</f>
        <v>0</v>
      </c>
      <c r="Z129">
        <f>IF(Source!BI110=3,I128-0, 0)</f>
        <v>77910.31</v>
      </c>
      <c r="AA129">
        <f>IF(Source!BI110=4,I128,0)</f>
        <v>0</v>
      </c>
    </row>
    <row r="131" spans="1:28" ht="28.5" x14ac:dyDescent="0.2">
      <c r="A131" s="26" t="str">
        <f>Source!E111</f>
        <v>11</v>
      </c>
      <c r="B131" s="27" t="str">
        <f>Source!F111</f>
        <v>4.8-47-1</v>
      </c>
      <c r="C131" s="27" t="s">
        <v>141</v>
      </c>
      <c r="D131" s="28" t="str">
        <f>Source!H111</f>
        <v>100 м</v>
      </c>
      <c r="E131" s="10">
        <f>Source!I111</f>
        <v>0.06</v>
      </c>
      <c r="F131" s="30"/>
      <c r="G131" s="29"/>
      <c r="H131" s="10"/>
      <c r="I131" s="30"/>
      <c r="J131" s="10"/>
      <c r="K131" s="30"/>
      <c r="Q131">
        <f>ROUND((Source!DN111/100)*ROUND((Source!AF111*Source!AV111)*Source!I111, 2), 2)</f>
        <v>40.22</v>
      </c>
      <c r="R131">
        <f>Source!X111</f>
        <v>783.17</v>
      </c>
      <c r="S131">
        <f>ROUND((Source!DO111/100)*ROUND((Source!AF111*Source!AV111)*Source!I111, 2), 2)</f>
        <v>25.14</v>
      </c>
      <c r="T131">
        <f>Source!Y111</f>
        <v>374.18</v>
      </c>
      <c r="U131">
        <f>ROUND((175/100)*ROUND((Source!AE111*Source!AV111)*Source!I111, 2), 2)</f>
        <v>8.17</v>
      </c>
      <c r="V131">
        <f>ROUND((157/100)*ROUND(Source!CS111*Source!I111, 2), 2)</f>
        <v>177.8</v>
      </c>
    </row>
    <row r="132" spans="1:28" x14ac:dyDescent="0.2">
      <c r="C132" s="42" t="str">
        <f>"Объем: "&amp;Source!I111&amp;"=("&amp;Source!I112&amp;")/"&amp;"100"</f>
        <v>Объем: 0,06=(6)/100</v>
      </c>
    </row>
    <row r="133" spans="1:28" ht="14.25" x14ac:dyDescent="0.2">
      <c r="A133" s="26"/>
      <c r="B133" s="27"/>
      <c r="C133" s="27" t="s">
        <v>266</v>
      </c>
      <c r="D133" s="28"/>
      <c r="E133" s="10"/>
      <c r="F133" s="30">
        <f>Source!AO111</f>
        <v>571.69000000000005</v>
      </c>
      <c r="G133" s="29" t="str">
        <f>Source!DG111</f>
        <v/>
      </c>
      <c r="H133" s="10">
        <f>Source!AV111</f>
        <v>1.0469999999999999</v>
      </c>
      <c r="I133" s="30">
        <f>ROUND((Source!AF111*Source!AV111)*Source!I111, 2)</f>
        <v>35.909999999999997</v>
      </c>
      <c r="J133" s="10">
        <f>IF(Source!BA111&lt;&gt; 0, Source!BA111, 1)</f>
        <v>24.23</v>
      </c>
      <c r="K133" s="30">
        <f>Source!S111</f>
        <v>870.19</v>
      </c>
      <c r="W133">
        <f>I133</f>
        <v>35.909999999999997</v>
      </c>
    </row>
    <row r="134" spans="1:28" ht="14.25" x14ac:dyDescent="0.2">
      <c r="A134" s="26"/>
      <c r="B134" s="27"/>
      <c r="C134" s="27" t="s">
        <v>267</v>
      </c>
      <c r="D134" s="28"/>
      <c r="E134" s="10"/>
      <c r="F134" s="30">
        <f>Source!AM111</f>
        <v>180.98</v>
      </c>
      <c r="G134" s="29" t="str">
        <f>Source!DE111</f>
        <v/>
      </c>
      <c r="H134" s="10">
        <f>Source!AV111</f>
        <v>1.0469999999999999</v>
      </c>
      <c r="I134" s="30">
        <f>ROUND((Source!AD111*Source!AV111)*Source!I111, 2)</f>
        <v>11.37</v>
      </c>
      <c r="J134" s="10">
        <f>IF(Source!BB111&lt;&gt; 0, Source!BB111, 1)</f>
        <v>13.2</v>
      </c>
      <c r="K134" s="30">
        <f>Source!Q111</f>
        <v>150.07</v>
      </c>
    </row>
    <row r="135" spans="1:28" ht="14.25" x14ac:dyDescent="0.2">
      <c r="A135" s="26"/>
      <c r="B135" s="27"/>
      <c r="C135" s="27" t="s">
        <v>268</v>
      </c>
      <c r="D135" s="28"/>
      <c r="E135" s="10"/>
      <c r="F135" s="30">
        <f>Source!AN111</f>
        <v>74.400000000000006</v>
      </c>
      <c r="G135" s="29" t="str">
        <f>Source!DF111</f>
        <v/>
      </c>
      <c r="H135" s="10">
        <f>Source!AV111</f>
        <v>1.0469999999999999</v>
      </c>
      <c r="I135" s="31">
        <f>ROUND((Source!AE111*Source!AV111)*Source!I111, 2)</f>
        <v>4.67</v>
      </c>
      <c r="J135" s="10">
        <f>IF(Source!BS111&lt;&gt; 0, Source!BS111, 1)</f>
        <v>24.23</v>
      </c>
      <c r="K135" s="31">
        <f>Source!R111</f>
        <v>113.25</v>
      </c>
      <c r="W135">
        <f>I135</f>
        <v>4.67</v>
      </c>
    </row>
    <row r="136" spans="1:28" ht="14.25" x14ac:dyDescent="0.2">
      <c r="A136" s="26"/>
      <c r="B136" s="27"/>
      <c r="C136" s="27" t="s">
        <v>276</v>
      </c>
      <c r="D136" s="28"/>
      <c r="E136" s="10"/>
      <c r="F136" s="30">
        <f>Source!AL111</f>
        <v>47.74</v>
      </c>
      <c r="G136" s="29" t="str">
        <f>Source!DD111</f>
        <v/>
      </c>
      <c r="H136" s="10">
        <f>Source!AW111</f>
        <v>1</v>
      </c>
      <c r="I136" s="30">
        <f>ROUND((Source!AC111*Source!AW111)*Source!I111, 2)</f>
        <v>2.86</v>
      </c>
      <c r="J136" s="10">
        <f>IF(Source!BC111&lt;&gt; 0, Source!BC111, 1)</f>
        <v>5.6</v>
      </c>
      <c r="K136" s="30">
        <f>Source!P111</f>
        <v>16.04</v>
      </c>
    </row>
    <row r="137" spans="1:28" ht="14.25" x14ac:dyDescent="0.2">
      <c r="A137" s="26"/>
      <c r="B137" s="27"/>
      <c r="C137" s="27" t="s">
        <v>269</v>
      </c>
      <c r="D137" s="28" t="s">
        <v>270</v>
      </c>
      <c r="E137" s="10">
        <f>Source!DN111</f>
        <v>112</v>
      </c>
      <c r="F137" s="30"/>
      <c r="G137" s="29"/>
      <c r="H137" s="10"/>
      <c r="I137" s="30">
        <f>SUM(Q131:Q136)</f>
        <v>40.22</v>
      </c>
      <c r="J137" s="10">
        <f>Source!BZ111</f>
        <v>90</v>
      </c>
      <c r="K137" s="30">
        <f>SUM(R131:R136)</f>
        <v>783.17</v>
      </c>
    </row>
    <row r="138" spans="1:28" ht="14.25" x14ac:dyDescent="0.2">
      <c r="A138" s="26"/>
      <c r="B138" s="27"/>
      <c r="C138" s="27" t="s">
        <v>271</v>
      </c>
      <c r="D138" s="28" t="s">
        <v>270</v>
      </c>
      <c r="E138" s="10">
        <f>Source!DO111</f>
        <v>70</v>
      </c>
      <c r="F138" s="30"/>
      <c r="G138" s="29"/>
      <c r="H138" s="10"/>
      <c r="I138" s="30">
        <f>SUM(S131:S137)</f>
        <v>25.14</v>
      </c>
      <c r="J138" s="10">
        <f>Source!CA111</f>
        <v>43</v>
      </c>
      <c r="K138" s="30">
        <f>SUM(T131:T137)</f>
        <v>374.18</v>
      </c>
    </row>
    <row r="139" spans="1:28" ht="14.25" x14ac:dyDescent="0.2">
      <c r="A139" s="26"/>
      <c r="B139" s="27"/>
      <c r="C139" s="27" t="s">
        <v>272</v>
      </c>
      <c r="D139" s="28" t="s">
        <v>270</v>
      </c>
      <c r="E139" s="10">
        <f>175</f>
        <v>175</v>
      </c>
      <c r="F139" s="30"/>
      <c r="G139" s="29"/>
      <c r="H139" s="10"/>
      <c r="I139" s="30">
        <f>SUM(U131:U138)</f>
        <v>8.17</v>
      </c>
      <c r="J139" s="10">
        <f>157</f>
        <v>157</v>
      </c>
      <c r="K139" s="30">
        <f>SUM(V131:V138)</f>
        <v>177.8</v>
      </c>
    </row>
    <row r="140" spans="1:28" ht="14.25" x14ac:dyDescent="0.2">
      <c r="A140" s="33"/>
      <c r="B140" s="34"/>
      <c r="C140" s="34" t="s">
        <v>273</v>
      </c>
      <c r="D140" s="35" t="s">
        <v>274</v>
      </c>
      <c r="E140" s="36">
        <f>Source!AQ111</f>
        <v>45.3</v>
      </c>
      <c r="F140" s="37"/>
      <c r="G140" s="38" t="str">
        <f>Source!DI111</f>
        <v/>
      </c>
      <c r="H140" s="36">
        <f>Source!AV111</f>
        <v>1.0469999999999999</v>
      </c>
      <c r="I140" s="37">
        <f>Source!U111</f>
        <v>2.8457459999999992</v>
      </c>
      <c r="J140" s="36"/>
      <c r="K140" s="37"/>
      <c r="AB140" s="32">
        <f>I140</f>
        <v>2.8457459999999992</v>
      </c>
    </row>
    <row r="141" spans="1:28" ht="15" x14ac:dyDescent="0.25">
      <c r="A141" s="39"/>
      <c r="B141" s="39"/>
      <c r="C141" s="40" t="s">
        <v>275</v>
      </c>
      <c r="D141" s="39"/>
      <c r="E141" s="39"/>
      <c r="F141" s="39"/>
      <c r="G141" s="39"/>
      <c r="H141" s="62">
        <f>I133+I134+I136+I137+I138+I139</f>
        <v>123.66999999999999</v>
      </c>
      <c r="I141" s="62"/>
      <c r="J141" s="62">
        <f>K133+K134+K136+K137+K138+K139</f>
        <v>2371.4499999999998</v>
      </c>
      <c r="K141" s="62"/>
      <c r="O141" s="32">
        <f>I133+I134+I136+I137+I138+I139</f>
        <v>123.66999999999999</v>
      </c>
      <c r="P141" s="32">
        <f>K133+K134+K136+K137+K138+K139</f>
        <v>2371.4499999999998</v>
      </c>
      <c r="X141">
        <f>IF(Source!BI111&lt;=1,I133+I134+I136+I137+I138+I139-0, 0)</f>
        <v>0</v>
      </c>
      <c r="Y141">
        <f>IF(Source!BI111=2,I133+I134+I136+I137+I138+I139-0, 0)</f>
        <v>123.66999999999999</v>
      </c>
      <c r="Z141">
        <f>IF(Source!BI111=3,I133+I134+I136+I137+I138+I139-0, 0)</f>
        <v>0</v>
      </c>
      <c r="AA141">
        <f>IF(Source!BI111=4,I133+I134+I136+I137+I138+I139,0)</f>
        <v>0</v>
      </c>
    </row>
    <row r="143" spans="1:28" ht="14.25" x14ac:dyDescent="0.2">
      <c r="A143" s="33" t="str">
        <f>Source!E112</f>
        <v>12</v>
      </c>
      <c r="B143" s="34" t="str">
        <f>Source!F112</f>
        <v>счёт</v>
      </c>
      <c r="C143" s="34" t="s">
        <v>145</v>
      </c>
      <c r="D143" s="35" t="str">
        <f>Source!H112</f>
        <v>м</v>
      </c>
      <c r="E143" s="36">
        <f>Source!I112</f>
        <v>6</v>
      </c>
      <c r="F143" s="37">
        <f>Source!AL112</f>
        <v>116.33</v>
      </c>
      <c r="G143" s="38" t="str">
        <f>Source!DD112</f>
        <v/>
      </c>
      <c r="H143" s="36">
        <f>Source!AW112</f>
        <v>1</v>
      </c>
      <c r="I143" s="37">
        <f>ROUND((Source!AC112*Source!AW112)*Source!I112, 2)</f>
        <v>697.98</v>
      </c>
      <c r="J143" s="36">
        <f>IF(Source!BC112&lt;&gt; 0, Source!BC112, 1)</f>
        <v>5.58</v>
      </c>
      <c r="K143" s="37">
        <f>Source!P112</f>
        <v>3894.73</v>
      </c>
      <c r="Q143">
        <f>ROUND((Source!DN112/100)*ROUND((Source!AF112*Source!AV112)*Source!I112, 2), 2)</f>
        <v>0</v>
      </c>
      <c r="R143">
        <f>Source!X112</f>
        <v>0</v>
      </c>
      <c r="S143">
        <f>ROUND((Source!DO112/100)*ROUND((Source!AF112*Source!AV112)*Source!I112, 2), 2)</f>
        <v>0</v>
      </c>
      <c r="T143">
        <f>Source!Y112</f>
        <v>0</v>
      </c>
      <c r="U143">
        <f>ROUND((175/100)*ROUND((Source!AE112*Source!AV112)*Source!I112, 2), 2)</f>
        <v>0</v>
      </c>
      <c r="V143">
        <f>ROUND((157/100)*ROUND(Source!CS112*Source!I112, 2), 2)</f>
        <v>0</v>
      </c>
    </row>
    <row r="144" spans="1:28" ht="15" x14ac:dyDescent="0.25">
      <c r="A144" s="39"/>
      <c r="B144" s="39"/>
      <c r="C144" s="40" t="s">
        <v>275</v>
      </c>
      <c r="D144" s="39"/>
      <c r="E144" s="39"/>
      <c r="F144" s="39"/>
      <c r="G144" s="39"/>
      <c r="H144" s="62">
        <f>I143</f>
        <v>697.98</v>
      </c>
      <c r="I144" s="62"/>
      <c r="J144" s="62">
        <f>K143</f>
        <v>3894.73</v>
      </c>
      <c r="K144" s="62"/>
      <c r="O144" s="32">
        <f>I143</f>
        <v>697.98</v>
      </c>
      <c r="P144" s="32">
        <f>K143</f>
        <v>3894.73</v>
      </c>
      <c r="X144">
        <f>IF(Source!BI112&lt;=1,I143-0, 0)</f>
        <v>697.98</v>
      </c>
      <c r="Y144">
        <f>IF(Source!BI112=2,I143-0, 0)</f>
        <v>0</v>
      </c>
      <c r="Z144">
        <f>IF(Source!BI112=3,I143-0, 0)</f>
        <v>0</v>
      </c>
      <c r="AA144">
        <f>IF(Source!BI112=4,I143,0)</f>
        <v>0</v>
      </c>
    </row>
    <row r="146" spans="1:28" ht="57" x14ac:dyDescent="0.2">
      <c r="A146" s="26" t="str">
        <f>Source!E113</f>
        <v>13</v>
      </c>
      <c r="B146" s="27" t="str">
        <f>Source!F113</f>
        <v>4.8-90-7</v>
      </c>
      <c r="C146" s="27" t="s">
        <v>149</v>
      </c>
      <c r="D146" s="28" t="str">
        <f>Source!H113</f>
        <v>1  ШТ.</v>
      </c>
      <c r="E146" s="10">
        <f>Source!I113</f>
        <v>3</v>
      </c>
      <c r="F146" s="30"/>
      <c r="G146" s="29"/>
      <c r="H146" s="10"/>
      <c r="I146" s="30"/>
      <c r="J146" s="10"/>
      <c r="K146" s="30"/>
      <c r="Q146">
        <f>ROUND((Source!DN113/100)*ROUND((Source!AF113*Source!AV113)*Source!I113, 2), 2)</f>
        <v>122.74</v>
      </c>
      <c r="R146">
        <f>Source!X113</f>
        <v>2389.8200000000002</v>
      </c>
      <c r="S146">
        <f>ROUND((Source!DO113/100)*ROUND((Source!AF113*Source!AV113)*Source!I113, 2), 2)</f>
        <v>76.709999999999994</v>
      </c>
      <c r="T146">
        <f>Source!Y113</f>
        <v>1141.8</v>
      </c>
      <c r="U146">
        <f>ROUND((175/100)*ROUND((Source!AE113*Source!AV113)*Source!I113, 2), 2)</f>
        <v>0</v>
      </c>
      <c r="V146">
        <f>ROUND((157/100)*ROUND(Source!CS113*Source!I113, 2), 2)</f>
        <v>0</v>
      </c>
    </row>
    <row r="147" spans="1:28" x14ac:dyDescent="0.2">
      <c r="C147" s="42" t="str">
        <f>"Объем: "&amp;Source!I113&amp;"="&amp;Source!I114&amp;"*"&amp;"3"</f>
        <v>Объем: 3=1*3</v>
      </c>
    </row>
    <row r="148" spans="1:28" ht="14.25" x14ac:dyDescent="0.2">
      <c r="A148" s="26"/>
      <c r="B148" s="27"/>
      <c r="C148" s="27" t="s">
        <v>266</v>
      </c>
      <c r="D148" s="28"/>
      <c r="E148" s="10"/>
      <c r="F148" s="30">
        <f>Source!AO113</f>
        <v>34.89</v>
      </c>
      <c r="G148" s="29" t="str">
        <f>Source!DG113</f>
        <v/>
      </c>
      <c r="H148" s="10">
        <f>Source!AV113</f>
        <v>1.0469999999999999</v>
      </c>
      <c r="I148" s="30">
        <f>ROUND((Source!AF113*Source!AV113)*Source!I113, 2)</f>
        <v>109.59</v>
      </c>
      <c r="J148" s="10">
        <f>IF(Source!BA113&lt;&gt; 0, Source!BA113, 1)</f>
        <v>24.23</v>
      </c>
      <c r="K148" s="30">
        <f>Source!S113</f>
        <v>2655.35</v>
      </c>
      <c r="W148">
        <f>I148</f>
        <v>109.59</v>
      </c>
    </row>
    <row r="149" spans="1:28" ht="14.25" x14ac:dyDescent="0.2">
      <c r="A149" s="26"/>
      <c r="B149" s="27"/>
      <c r="C149" s="27" t="s">
        <v>276</v>
      </c>
      <c r="D149" s="28"/>
      <c r="E149" s="10"/>
      <c r="F149" s="30">
        <f>Source!AL113</f>
        <v>4.55</v>
      </c>
      <c r="G149" s="29" t="str">
        <f>Source!DD113</f>
        <v/>
      </c>
      <c r="H149" s="10">
        <f>Source!AW113</f>
        <v>1</v>
      </c>
      <c r="I149" s="30">
        <f>ROUND((Source!AC113*Source!AW113)*Source!I113, 2)</f>
        <v>13.65</v>
      </c>
      <c r="J149" s="10">
        <f>IF(Source!BC113&lt;&gt; 0, Source!BC113, 1)</f>
        <v>5.6</v>
      </c>
      <c r="K149" s="30">
        <f>Source!P113</f>
        <v>76.44</v>
      </c>
    </row>
    <row r="150" spans="1:28" ht="14.25" x14ac:dyDescent="0.2">
      <c r="A150" s="26"/>
      <c r="B150" s="27"/>
      <c r="C150" s="27" t="s">
        <v>269</v>
      </c>
      <c r="D150" s="28" t="s">
        <v>270</v>
      </c>
      <c r="E150" s="10">
        <f>Source!DN113</f>
        <v>112</v>
      </c>
      <c r="F150" s="30"/>
      <c r="G150" s="29"/>
      <c r="H150" s="10"/>
      <c r="I150" s="30">
        <f>SUM(Q146:Q149)</f>
        <v>122.74</v>
      </c>
      <c r="J150" s="10">
        <f>Source!BZ113</f>
        <v>90</v>
      </c>
      <c r="K150" s="30">
        <f>SUM(R146:R149)</f>
        <v>2389.8200000000002</v>
      </c>
    </row>
    <row r="151" spans="1:28" ht="14.25" x14ac:dyDescent="0.2">
      <c r="A151" s="26"/>
      <c r="B151" s="27"/>
      <c r="C151" s="27" t="s">
        <v>271</v>
      </c>
      <c r="D151" s="28" t="s">
        <v>270</v>
      </c>
      <c r="E151" s="10">
        <f>Source!DO113</f>
        <v>70</v>
      </c>
      <c r="F151" s="30"/>
      <c r="G151" s="29"/>
      <c r="H151" s="10"/>
      <c r="I151" s="30">
        <f>SUM(S146:S150)</f>
        <v>76.709999999999994</v>
      </c>
      <c r="J151" s="10">
        <f>Source!CA113</f>
        <v>43</v>
      </c>
      <c r="K151" s="30">
        <f>SUM(T146:T150)</f>
        <v>1141.8</v>
      </c>
    </row>
    <row r="152" spans="1:28" ht="14.25" x14ac:dyDescent="0.2">
      <c r="A152" s="33"/>
      <c r="B152" s="34"/>
      <c r="C152" s="34" t="s">
        <v>273</v>
      </c>
      <c r="D152" s="35" t="s">
        <v>274</v>
      </c>
      <c r="E152" s="36">
        <f>Source!AQ113</f>
        <v>2.83</v>
      </c>
      <c r="F152" s="37"/>
      <c r="G152" s="38" t="str">
        <f>Source!DI113</f>
        <v/>
      </c>
      <c r="H152" s="36">
        <f>Source!AV113</f>
        <v>1.0469999999999999</v>
      </c>
      <c r="I152" s="37">
        <f>Source!U113</f>
        <v>8.8890299999999982</v>
      </c>
      <c r="J152" s="36"/>
      <c r="K152" s="37"/>
      <c r="AB152" s="32">
        <f>I152</f>
        <v>8.8890299999999982</v>
      </c>
    </row>
    <row r="153" spans="1:28" ht="15" x14ac:dyDescent="0.25">
      <c r="A153" s="39"/>
      <c r="B153" s="39"/>
      <c r="C153" s="40" t="s">
        <v>275</v>
      </c>
      <c r="D153" s="39"/>
      <c r="E153" s="39"/>
      <c r="F153" s="39"/>
      <c r="G153" s="39"/>
      <c r="H153" s="62">
        <f>I148+I149+I150+I151</f>
        <v>322.69</v>
      </c>
      <c r="I153" s="62"/>
      <c r="J153" s="62">
        <f>K148+K149+K150+K151</f>
        <v>6263.4100000000008</v>
      </c>
      <c r="K153" s="62"/>
      <c r="O153" s="32">
        <f>I148+I149+I150+I151</f>
        <v>322.69</v>
      </c>
      <c r="P153" s="32">
        <f>K148+K149+K150+K151</f>
        <v>6263.4100000000008</v>
      </c>
      <c r="X153">
        <f>IF(Source!BI113&lt;=1,I148+I149+I150+I151-0, 0)</f>
        <v>0</v>
      </c>
      <c r="Y153">
        <f>IF(Source!BI113=2,I148+I149+I150+I151-0, 0)</f>
        <v>322.69</v>
      </c>
      <c r="Z153">
        <f>IF(Source!BI113=3,I148+I149+I150+I151-0, 0)</f>
        <v>0</v>
      </c>
      <c r="AA153">
        <f>IF(Source!BI113=4,I148+I149+I150+I151,0)</f>
        <v>0</v>
      </c>
    </row>
    <row r="155" spans="1:28" ht="85.5" x14ac:dyDescent="0.2">
      <c r="A155" s="33" t="str">
        <f>Source!E114</f>
        <v>14</v>
      </c>
      <c r="B155" s="34" t="str">
        <f>Source!F114</f>
        <v>1.21-5-507</v>
      </c>
      <c r="C155" s="34" t="s">
        <v>155</v>
      </c>
      <c r="D155" s="35" t="str">
        <f>Source!H114</f>
        <v>КОМПЛЕКТ</v>
      </c>
      <c r="E155" s="36">
        <f>Source!I114</f>
        <v>1</v>
      </c>
      <c r="F155" s="37">
        <f>Source!AL114</f>
        <v>2045.25</v>
      </c>
      <c r="G155" s="38" t="str">
        <f>Source!DD114</f>
        <v/>
      </c>
      <c r="H155" s="36">
        <f>Source!AW114</f>
        <v>1</v>
      </c>
      <c r="I155" s="37">
        <f>ROUND((Source!AC114*Source!AW114)*Source!I114, 2)</f>
        <v>2045.25</v>
      </c>
      <c r="J155" s="36">
        <f>IF(Source!BC114&lt;&gt; 0, Source!BC114, 1)</f>
        <v>2.9</v>
      </c>
      <c r="K155" s="37">
        <f>Source!P114</f>
        <v>5931.23</v>
      </c>
      <c r="Q155">
        <f>ROUND((Source!DN114/100)*ROUND((Source!AF114*Source!AV114)*Source!I114, 2), 2)</f>
        <v>0</v>
      </c>
      <c r="R155">
        <f>Source!X114</f>
        <v>0</v>
      </c>
      <c r="S155">
        <f>ROUND((Source!DO114/100)*ROUND((Source!AF114*Source!AV114)*Source!I114, 2), 2)</f>
        <v>0</v>
      </c>
      <c r="T155">
        <f>Source!Y114</f>
        <v>0</v>
      </c>
      <c r="U155">
        <f>ROUND((175/100)*ROUND((Source!AE114*Source!AV114)*Source!I114, 2), 2)</f>
        <v>0</v>
      </c>
      <c r="V155">
        <f>ROUND((157/100)*ROUND(Source!CS114*Source!I114, 2), 2)</f>
        <v>0</v>
      </c>
    </row>
    <row r="156" spans="1:28" ht="15" x14ac:dyDescent="0.25">
      <c r="A156" s="39"/>
      <c r="B156" s="39"/>
      <c r="C156" s="40" t="s">
        <v>275</v>
      </c>
      <c r="D156" s="39"/>
      <c r="E156" s="39"/>
      <c r="F156" s="39"/>
      <c r="G156" s="39"/>
      <c r="H156" s="62">
        <f>I155</f>
        <v>2045.25</v>
      </c>
      <c r="I156" s="62"/>
      <c r="J156" s="62">
        <f>K155</f>
        <v>5931.23</v>
      </c>
      <c r="K156" s="62"/>
      <c r="O156" s="32">
        <f>I155</f>
        <v>2045.25</v>
      </c>
      <c r="P156" s="32">
        <f>K155</f>
        <v>5931.23</v>
      </c>
      <c r="X156">
        <f>IF(Source!BI114&lt;=1,I155-0, 0)</f>
        <v>0</v>
      </c>
      <c r="Y156">
        <f>IF(Source!BI114=2,I155-0, 0)</f>
        <v>2045.25</v>
      </c>
      <c r="Z156">
        <f>IF(Source!BI114=3,I155-0, 0)</f>
        <v>0</v>
      </c>
      <c r="AA156">
        <f>IF(Source!BI114=4,I155,0)</f>
        <v>0</v>
      </c>
    </row>
    <row r="159" spans="1:28" ht="15" x14ac:dyDescent="0.25">
      <c r="A159" s="59" t="str">
        <f>CONCATENATE("Итого по разделу: ",IF(Source!G116&lt;&gt;"Новый раздел", Source!G116, ""))</f>
        <v>Итого по разделу: Монтажные работы</v>
      </c>
      <c r="B159" s="59"/>
      <c r="C159" s="59"/>
      <c r="D159" s="59"/>
      <c r="E159" s="59"/>
      <c r="F159" s="59"/>
      <c r="G159" s="59"/>
      <c r="H159" s="60">
        <f>SUM(O114:O158)</f>
        <v>83675.360000000001</v>
      </c>
      <c r="I159" s="61"/>
      <c r="J159" s="60">
        <f>SUM(P114:P158)</f>
        <v>415172.98</v>
      </c>
      <c r="K159" s="61"/>
    </row>
    <row r="160" spans="1:28" hidden="1" x14ac:dyDescent="0.2">
      <c r="A160" t="s">
        <v>277</v>
      </c>
      <c r="I160">
        <f>SUM(AC114:AC159)</f>
        <v>0</v>
      </c>
      <c r="J160">
        <f>SUM(AD114:AD159)</f>
        <v>0</v>
      </c>
    </row>
    <row r="161" spans="1:28" hidden="1" x14ac:dyDescent="0.2">
      <c r="A161" t="s">
        <v>278</v>
      </c>
      <c r="I161">
        <f>SUM(AE114:AE160)</f>
        <v>0</v>
      </c>
      <c r="J161">
        <f>SUM(AF114:AF160)</f>
        <v>0</v>
      </c>
    </row>
    <row r="163" spans="1:28" ht="16.5" x14ac:dyDescent="0.25">
      <c r="A163" s="63" t="str">
        <f>CONCATENATE("Раздел: ",IF(Source!G146&lt;&gt;"Новый раздел", Source!G146, ""))</f>
        <v>Раздел: Пусконаладочные работы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</row>
    <row r="164" spans="1:28" ht="42.75" x14ac:dyDescent="0.2">
      <c r="A164" s="26" t="str">
        <f>Source!E150</f>
        <v>15</v>
      </c>
      <c r="B164" s="27" t="str">
        <f>Source!F150</f>
        <v>5.1-14-4</v>
      </c>
      <c r="C164" s="27" t="s">
        <v>164</v>
      </c>
      <c r="D164" s="28" t="str">
        <f>Source!H150</f>
        <v>1  ШТ.</v>
      </c>
      <c r="E164" s="10">
        <f>Source!I150</f>
        <v>1</v>
      </c>
      <c r="F164" s="30"/>
      <c r="G164" s="29"/>
      <c r="H164" s="10"/>
      <c r="I164" s="30"/>
      <c r="J164" s="10"/>
      <c r="K164" s="30"/>
      <c r="Q164">
        <f>ROUND((Source!DN150/100)*ROUND((Source!AF150*Source!AV150)*Source!I150, 2), 2)</f>
        <v>254.57</v>
      </c>
      <c r="R164">
        <f>Source!X150</f>
        <v>5592.42</v>
      </c>
      <c r="S164">
        <f>ROUND((Source!DO150/100)*ROUND((Source!AF150*Source!AV150)*Source!I150, 2), 2)</f>
        <v>237.59</v>
      </c>
      <c r="T164">
        <f>Source!Y150</f>
        <v>3371.9</v>
      </c>
      <c r="U164">
        <f>ROUND((175/100)*ROUND((Source!AE150*Source!AV150)*Source!I150, 2), 2)</f>
        <v>0</v>
      </c>
      <c r="V164">
        <f>ROUND((157/100)*ROUND(Source!CS150*Source!I150, 2), 2)</f>
        <v>0</v>
      </c>
    </row>
    <row r="165" spans="1:28" ht="14.25" x14ac:dyDescent="0.2">
      <c r="A165" s="26"/>
      <c r="B165" s="27"/>
      <c r="C165" s="27" t="s">
        <v>266</v>
      </c>
      <c r="D165" s="28"/>
      <c r="E165" s="10"/>
      <c r="F165" s="30">
        <f>Source!AO150</f>
        <v>339.42</v>
      </c>
      <c r="G165" s="29" t="str">
        <f>Source!DG150</f>
        <v/>
      </c>
      <c r="H165" s="10">
        <f>Source!AV150</f>
        <v>1</v>
      </c>
      <c r="I165" s="30">
        <f>ROUND((Source!AF150*Source!AV150)*Source!I150, 2)</f>
        <v>339.42</v>
      </c>
      <c r="J165" s="10">
        <f>IF(Source!BA150&lt;&gt; 0, Source!BA150, 1)</f>
        <v>24.23</v>
      </c>
      <c r="K165" s="30">
        <f>Source!S150</f>
        <v>8224.15</v>
      </c>
      <c r="W165">
        <f>I165</f>
        <v>339.42</v>
      </c>
    </row>
    <row r="166" spans="1:28" ht="14.25" x14ac:dyDescent="0.2">
      <c r="A166" s="26"/>
      <c r="B166" s="27"/>
      <c r="C166" s="27" t="s">
        <v>269</v>
      </c>
      <c r="D166" s="28" t="s">
        <v>270</v>
      </c>
      <c r="E166" s="10">
        <f>Source!DN150</f>
        <v>75</v>
      </c>
      <c r="F166" s="30"/>
      <c r="G166" s="29"/>
      <c r="H166" s="10"/>
      <c r="I166" s="30">
        <f>SUM(Q164:Q165)</f>
        <v>254.57</v>
      </c>
      <c r="J166" s="10">
        <f>Source!BZ150</f>
        <v>68</v>
      </c>
      <c r="K166" s="30">
        <f>SUM(R164:R165)</f>
        <v>5592.42</v>
      </c>
    </row>
    <row r="167" spans="1:28" ht="14.25" x14ac:dyDescent="0.2">
      <c r="A167" s="26"/>
      <c r="B167" s="27"/>
      <c r="C167" s="27" t="s">
        <v>271</v>
      </c>
      <c r="D167" s="28" t="s">
        <v>270</v>
      </c>
      <c r="E167" s="10">
        <f>Source!DO150</f>
        <v>70</v>
      </c>
      <c r="F167" s="30"/>
      <c r="G167" s="29"/>
      <c r="H167" s="10"/>
      <c r="I167" s="30">
        <f>SUM(S164:S166)</f>
        <v>237.59</v>
      </c>
      <c r="J167" s="10">
        <f>Source!CA150</f>
        <v>41</v>
      </c>
      <c r="K167" s="30">
        <f>SUM(T164:T166)</f>
        <v>3371.9</v>
      </c>
    </row>
    <row r="168" spans="1:28" ht="14.25" x14ac:dyDescent="0.2">
      <c r="A168" s="33"/>
      <c r="B168" s="34"/>
      <c r="C168" s="34" t="s">
        <v>273</v>
      </c>
      <c r="D168" s="35" t="s">
        <v>274</v>
      </c>
      <c r="E168" s="36">
        <f>Source!AQ150</f>
        <v>23</v>
      </c>
      <c r="F168" s="37"/>
      <c r="G168" s="38" t="str">
        <f>Source!DI150</f>
        <v/>
      </c>
      <c r="H168" s="36">
        <f>Source!AV150</f>
        <v>1</v>
      </c>
      <c r="I168" s="37">
        <f>Source!U150</f>
        <v>23</v>
      </c>
      <c r="J168" s="36"/>
      <c r="K168" s="37"/>
      <c r="AB168" s="32">
        <f>I168</f>
        <v>23</v>
      </c>
    </row>
    <row r="169" spans="1:28" ht="15" x14ac:dyDescent="0.25">
      <c r="A169" s="39"/>
      <c r="B169" s="39"/>
      <c r="C169" s="40" t="s">
        <v>275</v>
      </c>
      <c r="D169" s="39"/>
      <c r="E169" s="39"/>
      <c r="F169" s="39"/>
      <c r="G169" s="39"/>
      <c r="H169" s="62">
        <f>I165+I166+I167</f>
        <v>831.58</v>
      </c>
      <c r="I169" s="62"/>
      <c r="J169" s="62">
        <f>K165+K166+K167</f>
        <v>17188.47</v>
      </c>
      <c r="K169" s="62"/>
      <c r="O169" s="32">
        <f>I165+I166+I167</f>
        <v>831.58</v>
      </c>
      <c r="P169" s="32">
        <f>K165+K166+K167</f>
        <v>17188.47</v>
      </c>
      <c r="X169">
        <f>IF(Source!BI150&lt;=1,I165+I166+I167-0, 0)</f>
        <v>0</v>
      </c>
      <c r="Y169">
        <f>IF(Source!BI150=2,I165+I166+I167-0, 0)</f>
        <v>0</v>
      </c>
      <c r="Z169">
        <f>IF(Source!BI150=3,I165+I166+I167-0, 0)</f>
        <v>0</v>
      </c>
      <c r="AA169">
        <f>IF(Source!BI150=4,I165+I166+I167,0)</f>
        <v>831.58</v>
      </c>
    </row>
    <row r="171" spans="1:28" ht="42.75" x14ac:dyDescent="0.2">
      <c r="A171" s="26" t="str">
        <f>Source!E151</f>
        <v>16</v>
      </c>
      <c r="B171" s="27" t="str">
        <f>Source!F151</f>
        <v>5.1-17-7</v>
      </c>
      <c r="C171" s="27" t="s">
        <v>170</v>
      </c>
      <c r="D171" s="28" t="str">
        <f>Source!H151</f>
        <v>1  ШТ.</v>
      </c>
      <c r="E171" s="10">
        <f>Source!I151</f>
        <v>3</v>
      </c>
      <c r="F171" s="30"/>
      <c r="G171" s="29"/>
      <c r="H171" s="10"/>
      <c r="I171" s="30"/>
      <c r="J171" s="10"/>
      <c r="K171" s="30"/>
      <c r="Q171">
        <f>ROUND((Source!DN151/100)*ROUND((Source!AF151*Source!AV151)*Source!I151, 2), 2)</f>
        <v>262.22000000000003</v>
      </c>
      <c r="R171">
        <f>Source!X151</f>
        <v>5760.48</v>
      </c>
      <c r="S171">
        <f>ROUND((Source!DO151/100)*ROUND((Source!AF151*Source!AV151)*Source!I151, 2), 2)</f>
        <v>244.73</v>
      </c>
      <c r="T171">
        <f>Source!Y151</f>
        <v>3473.23</v>
      </c>
      <c r="U171">
        <f>ROUND((175/100)*ROUND((Source!AE151*Source!AV151)*Source!I151, 2), 2)</f>
        <v>0</v>
      </c>
      <c r="V171">
        <f>ROUND((157/100)*ROUND(Source!CS151*Source!I151, 2), 2)</f>
        <v>0</v>
      </c>
    </row>
    <row r="172" spans="1:28" ht="14.25" x14ac:dyDescent="0.2">
      <c r="A172" s="26"/>
      <c r="B172" s="27"/>
      <c r="C172" s="27" t="s">
        <v>266</v>
      </c>
      <c r="D172" s="28"/>
      <c r="E172" s="10"/>
      <c r="F172" s="30">
        <f>Source!AO151</f>
        <v>116.54</v>
      </c>
      <c r="G172" s="29" t="str">
        <f>Source!DG151</f>
        <v/>
      </c>
      <c r="H172" s="10">
        <f>Source!AV151</f>
        <v>1</v>
      </c>
      <c r="I172" s="30">
        <f>ROUND((Source!AF151*Source!AV151)*Source!I151, 2)</f>
        <v>349.62</v>
      </c>
      <c r="J172" s="10">
        <f>IF(Source!BA151&lt;&gt; 0, Source!BA151, 1)</f>
        <v>24.23</v>
      </c>
      <c r="K172" s="30">
        <f>Source!S151</f>
        <v>8471.2900000000009</v>
      </c>
      <c r="W172">
        <f>I172</f>
        <v>349.62</v>
      </c>
    </row>
    <row r="173" spans="1:28" ht="14.25" x14ac:dyDescent="0.2">
      <c r="A173" s="26"/>
      <c r="B173" s="27"/>
      <c r="C173" s="27" t="s">
        <v>269</v>
      </c>
      <c r="D173" s="28" t="s">
        <v>270</v>
      </c>
      <c r="E173" s="10">
        <f>Source!DN151</f>
        <v>75</v>
      </c>
      <c r="F173" s="30"/>
      <c r="G173" s="29"/>
      <c r="H173" s="10"/>
      <c r="I173" s="30">
        <f>SUM(Q171:Q172)</f>
        <v>262.22000000000003</v>
      </c>
      <c r="J173" s="10">
        <f>Source!BZ151</f>
        <v>68</v>
      </c>
      <c r="K173" s="30">
        <f>SUM(R171:R172)</f>
        <v>5760.48</v>
      </c>
    </row>
    <row r="174" spans="1:28" ht="14.25" x14ac:dyDescent="0.2">
      <c r="A174" s="26"/>
      <c r="B174" s="27"/>
      <c r="C174" s="27" t="s">
        <v>271</v>
      </c>
      <c r="D174" s="28" t="s">
        <v>270</v>
      </c>
      <c r="E174" s="10">
        <f>Source!DO151</f>
        <v>70</v>
      </c>
      <c r="F174" s="30"/>
      <c r="G174" s="29"/>
      <c r="H174" s="10"/>
      <c r="I174" s="30">
        <f>SUM(S171:S173)</f>
        <v>244.73</v>
      </c>
      <c r="J174" s="10">
        <f>Source!CA151</f>
        <v>41</v>
      </c>
      <c r="K174" s="30">
        <f>SUM(T171:T173)</f>
        <v>3473.23</v>
      </c>
    </row>
    <row r="175" spans="1:28" ht="14.25" x14ac:dyDescent="0.2">
      <c r="A175" s="33"/>
      <c r="B175" s="34"/>
      <c r="C175" s="34" t="s">
        <v>273</v>
      </c>
      <c r="D175" s="35" t="s">
        <v>274</v>
      </c>
      <c r="E175" s="36">
        <f>Source!AQ151</f>
        <v>8.1</v>
      </c>
      <c r="F175" s="37"/>
      <c r="G175" s="38" t="str">
        <f>Source!DI151</f>
        <v/>
      </c>
      <c r="H175" s="36">
        <f>Source!AV151</f>
        <v>1</v>
      </c>
      <c r="I175" s="37">
        <f>Source!U151</f>
        <v>24.299999999999997</v>
      </c>
      <c r="J175" s="36"/>
      <c r="K175" s="37"/>
      <c r="AB175" s="32">
        <f>I175</f>
        <v>24.299999999999997</v>
      </c>
    </row>
    <row r="176" spans="1:28" ht="15" x14ac:dyDescent="0.25">
      <c r="A176" s="39"/>
      <c r="B176" s="39"/>
      <c r="C176" s="40" t="s">
        <v>275</v>
      </c>
      <c r="D176" s="39"/>
      <c r="E176" s="39"/>
      <c r="F176" s="39"/>
      <c r="G176" s="39"/>
      <c r="H176" s="62">
        <f>I172+I173+I174</f>
        <v>856.57</v>
      </c>
      <c r="I176" s="62"/>
      <c r="J176" s="62">
        <f>K172+K173+K174</f>
        <v>17705</v>
      </c>
      <c r="K176" s="62"/>
      <c r="O176" s="32">
        <f>I172+I173+I174</f>
        <v>856.57</v>
      </c>
      <c r="P176" s="32">
        <f>K172+K173+K174</f>
        <v>17705</v>
      </c>
      <c r="X176">
        <f>IF(Source!BI151&lt;=1,I172+I173+I174-0, 0)</f>
        <v>0</v>
      </c>
      <c r="Y176">
        <f>IF(Source!BI151=2,I172+I173+I174-0, 0)</f>
        <v>0</v>
      </c>
      <c r="Z176">
        <f>IF(Source!BI151=3,I172+I173+I174-0, 0)</f>
        <v>0</v>
      </c>
      <c r="AA176">
        <f>IF(Source!BI151=4,I172+I173+I174,0)</f>
        <v>856.57</v>
      </c>
    </row>
    <row r="178" spans="1:28" ht="42.75" x14ac:dyDescent="0.2">
      <c r="A178" s="26" t="str">
        <f>Source!E152</f>
        <v>17</v>
      </c>
      <c r="B178" s="27" t="str">
        <f>Source!F152</f>
        <v>5.1-158-1</v>
      </c>
      <c r="C178" s="27" t="s">
        <v>174</v>
      </c>
      <c r="D178" s="28" t="str">
        <f>Source!H152</f>
        <v>1 фазировка</v>
      </c>
      <c r="E178" s="10">
        <f>Source!I152</f>
        <v>1</v>
      </c>
      <c r="F178" s="30"/>
      <c r="G178" s="29"/>
      <c r="H178" s="10"/>
      <c r="I178" s="30"/>
      <c r="J178" s="10"/>
      <c r="K178" s="30"/>
      <c r="Q178">
        <f>ROUND((Source!DN152/100)*ROUND((Source!AF152*Source!AV152)*Source!I152, 2), 2)</f>
        <v>10.68</v>
      </c>
      <c r="R178">
        <f>Source!X152</f>
        <v>234.63</v>
      </c>
      <c r="S178">
        <f>ROUND((Source!DO152/100)*ROUND((Source!AF152*Source!AV152)*Source!I152, 2), 2)</f>
        <v>9.9700000000000006</v>
      </c>
      <c r="T178">
        <f>Source!Y152</f>
        <v>141.47</v>
      </c>
      <c r="U178">
        <f>ROUND((175/100)*ROUND((Source!AE152*Source!AV152)*Source!I152, 2), 2)</f>
        <v>0</v>
      </c>
      <c r="V178">
        <f>ROUND((157/100)*ROUND(Source!CS152*Source!I152, 2), 2)</f>
        <v>0</v>
      </c>
    </row>
    <row r="179" spans="1:28" ht="14.25" x14ac:dyDescent="0.2">
      <c r="A179" s="26"/>
      <c r="B179" s="27"/>
      <c r="C179" s="27" t="s">
        <v>266</v>
      </c>
      <c r="D179" s="28"/>
      <c r="E179" s="10"/>
      <c r="F179" s="30">
        <f>Source!AO152</f>
        <v>14.24</v>
      </c>
      <c r="G179" s="29" t="str">
        <f>Source!DG152</f>
        <v/>
      </c>
      <c r="H179" s="10">
        <f>Source!AV152</f>
        <v>1</v>
      </c>
      <c r="I179" s="30">
        <f>ROUND((Source!AF152*Source!AV152)*Source!I152, 2)</f>
        <v>14.24</v>
      </c>
      <c r="J179" s="10">
        <f>IF(Source!BA152&lt;&gt; 0, Source!BA152, 1)</f>
        <v>24.23</v>
      </c>
      <c r="K179" s="30">
        <f>Source!S152</f>
        <v>345.04</v>
      </c>
      <c r="W179">
        <f>I179</f>
        <v>14.24</v>
      </c>
    </row>
    <row r="180" spans="1:28" ht="14.25" x14ac:dyDescent="0.2">
      <c r="A180" s="26"/>
      <c r="B180" s="27"/>
      <c r="C180" s="27" t="s">
        <v>269</v>
      </c>
      <c r="D180" s="28" t="s">
        <v>270</v>
      </c>
      <c r="E180" s="10">
        <f>Source!DN152</f>
        <v>75</v>
      </c>
      <c r="F180" s="30"/>
      <c r="G180" s="29"/>
      <c r="H180" s="10"/>
      <c r="I180" s="30">
        <f>SUM(Q178:Q179)</f>
        <v>10.68</v>
      </c>
      <c r="J180" s="10">
        <f>Source!BZ152</f>
        <v>68</v>
      </c>
      <c r="K180" s="30">
        <f>SUM(R178:R179)</f>
        <v>234.63</v>
      </c>
    </row>
    <row r="181" spans="1:28" ht="14.25" x14ac:dyDescent="0.2">
      <c r="A181" s="26"/>
      <c r="B181" s="27"/>
      <c r="C181" s="27" t="s">
        <v>271</v>
      </c>
      <c r="D181" s="28" t="s">
        <v>270</v>
      </c>
      <c r="E181" s="10">
        <f>Source!DO152</f>
        <v>70</v>
      </c>
      <c r="F181" s="30"/>
      <c r="G181" s="29"/>
      <c r="H181" s="10"/>
      <c r="I181" s="30">
        <f>SUM(S178:S180)</f>
        <v>9.9700000000000006</v>
      </c>
      <c r="J181" s="10">
        <f>Source!CA152</f>
        <v>41</v>
      </c>
      <c r="K181" s="30">
        <f>SUM(T178:T180)</f>
        <v>141.47</v>
      </c>
    </row>
    <row r="182" spans="1:28" ht="14.25" x14ac:dyDescent="0.2">
      <c r="A182" s="33"/>
      <c r="B182" s="34"/>
      <c r="C182" s="34" t="s">
        <v>273</v>
      </c>
      <c r="D182" s="35" t="s">
        <v>274</v>
      </c>
      <c r="E182" s="36">
        <f>Source!AQ152</f>
        <v>0.9</v>
      </c>
      <c r="F182" s="37"/>
      <c r="G182" s="38" t="str">
        <f>Source!DI152</f>
        <v/>
      </c>
      <c r="H182" s="36">
        <f>Source!AV152</f>
        <v>1</v>
      </c>
      <c r="I182" s="37">
        <f>Source!U152</f>
        <v>0.9</v>
      </c>
      <c r="J182" s="36"/>
      <c r="K182" s="37"/>
      <c r="AB182" s="32">
        <f>I182</f>
        <v>0.9</v>
      </c>
    </row>
    <row r="183" spans="1:28" ht="15" x14ac:dyDescent="0.25">
      <c r="A183" s="39"/>
      <c r="B183" s="39"/>
      <c r="C183" s="40" t="s">
        <v>275</v>
      </c>
      <c r="D183" s="39"/>
      <c r="E183" s="39"/>
      <c r="F183" s="39"/>
      <c r="G183" s="39"/>
      <c r="H183" s="62">
        <f>I179+I180+I181</f>
        <v>34.89</v>
      </c>
      <c r="I183" s="62"/>
      <c r="J183" s="62">
        <f>K179+K180+K181</f>
        <v>721.1400000000001</v>
      </c>
      <c r="K183" s="62"/>
      <c r="O183" s="32">
        <f>I179+I180+I181</f>
        <v>34.89</v>
      </c>
      <c r="P183" s="32">
        <f>K179+K180+K181</f>
        <v>721.1400000000001</v>
      </c>
      <c r="X183">
        <f>IF(Source!BI152&lt;=1,I179+I180+I181-0, 0)</f>
        <v>0</v>
      </c>
      <c r="Y183">
        <f>IF(Source!BI152=2,I179+I180+I181-0, 0)</f>
        <v>0</v>
      </c>
      <c r="Z183">
        <f>IF(Source!BI152=3,I179+I180+I181-0, 0)</f>
        <v>0</v>
      </c>
      <c r="AA183">
        <f>IF(Source!BI152=4,I179+I180+I181,0)</f>
        <v>34.89</v>
      </c>
    </row>
    <row r="185" spans="1:28" ht="42.75" x14ac:dyDescent="0.2">
      <c r="A185" s="26" t="str">
        <f>Source!E153</f>
        <v>18</v>
      </c>
      <c r="B185" s="27" t="str">
        <f>Source!F153</f>
        <v>5.1-158-2</v>
      </c>
      <c r="C185" s="27" t="s">
        <v>179</v>
      </c>
      <c r="D185" s="28" t="str">
        <f>Source!H153</f>
        <v>1 фазировка</v>
      </c>
      <c r="E185" s="10">
        <f>Source!I153</f>
        <v>1</v>
      </c>
      <c r="F185" s="30"/>
      <c r="G185" s="29"/>
      <c r="H185" s="10"/>
      <c r="I185" s="30"/>
      <c r="J185" s="10"/>
      <c r="K185" s="30"/>
      <c r="Q185">
        <f>ROUND((Source!DN153/100)*ROUND((Source!AF153*Source!AV153)*Source!I153, 2), 2)</f>
        <v>21.37</v>
      </c>
      <c r="R185">
        <f>Source!X153</f>
        <v>469.41</v>
      </c>
      <c r="S185">
        <f>ROUND((Source!DO153/100)*ROUND((Source!AF153*Source!AV153)*Source!I153, 2), 2)</f>
        <v>19.940000000000001</v>
      </c>
      <c r="T185">
        <f>Source!Y153</f>
        <v>283.02999999999997</v>
      </c>
      <c r="U185">
        <f>ROUND((175/100)*ROUND((Source!AE153*Source!AV153)*Source!I153, 2), 2)</f>
        <v>0</v>
      </c>
      <c r="V185">
        <f>ROUND((157/100)*ROUND(Source!CS153*Source!I153, 2), 2)</f>
        <v>0</v>
      </c>
    </row>
    <row r="186" spans="1:28" ht="14.25" x14ac:dyDescent="0.2">
      <c r="A186" s="26"/>
      <c r="B186" s="27"/>
      <c r="C186" s="27" t="s">
        <v>266</v>
      </c>
      <c r="D186" s="28"/>
      <c r="E186" s="10"/>
      <c r="F186" s="30">
        <f>Source!AO153</f>
        <v>28.49</v>
      </c>
      <c r="G186" s="29" t="str">
        <f>Source!DG153</f>
        <v/>
      </c>
      <c r="H186" s="10">
        <f>Source!AV153</f>
        <v>1</v>
      </c>
      <c r="I186" s="30">
        <f>ROUND((Source!AF153*Source!AV153)*Source!I153, 2)</f>
        <v>28.49</v>
      </c>
      <c r="J186" s="10">
        <f>IF(Source!BA153&lt;&gt; 0, Source!BA153, 1)</f>
        <v>24.23</v>
      </c>
      <c r="K186" s="30">
        <f>Source!S153</f>
        <v>690.31</v>
      </c>
      <c r="W186">
        <f>I186</f>
        <v>28.49</v>
      </c>
    </row>
    <row r="187" spans="1:28" ht="14.25" x14ac:dyDescent="0.2">
      <c r="A187" s="26"/>
      <c r="B187" s="27"/>
      <c r="C187" s="27" t="s">
        <v>269</v>
      </c>
      <c r="D187" s="28" t="s">
        <v>270</v>
      </c>
      <c r="E187" s="10">
        <f>Source!DN153</f>
        <v>75</v>
      </c>
      <c r="F187" s="30"/>
      <c r="G187" s="29"/>
      <c r="H187" s="10"/>
      <c r="I187" s="30">
        <f>SUM(Q185:Q186)</f>
        <v>21.37</v>
      </c>
      <c r="J187" s="10">
        <f>Source!BZ153</f>
        <v>68</v>
      </c>
      <c r="K187" s="30">
        <f>SUM(R185:R186)</f>
        <v>469.41</v>
      </c>
    </row>
    <row r="188" spans="1:28" ht="14.25" x14ac:dyDescent="0.2">
      <c r="A188" s="26"/>
      <c r="B188" s="27"/>
      <c r="C188" s="27" t="s">
        <v>271</v>
      </c>
      <c r="D188" s="28" t="s">
        <v>270</v>
      </c>
      <c r="E188" s="10">
        <f>Source!DO153</f>
        <v>70</v>
      </c>
      <c r="F188" s="30"/>
      <c r="G188" s="29"/>
      <c r="H188" s="10"/>
      <c r="I188" s="30">
        <f>SUM(S185:S187)</f>
        <v>19.940000000000001</v>
      </c>
      <c r="J188" s="10">
        <f>Source!CA153</f>
        <v>41</v>
      </c>
      <c r="K188" s="30">
        <f>SUM(T185:T187)</f>
        <v>283.02999999999997</v>
      </c>
    </row>
    <row r="189" spans="1:28" ht="14.25" x14ac:dyDescent="0.2">
      <c r="A189" s="33"/>
      <c r="B189" s="34"/>
      <c r="C189" s="34" t="s">
        <v>273</v>
      </c>
      <c r="D189" s="35" t="s">
        <v>274</v>
      </c>
      <c r="E189" s="36">
        <f>Source!AQ153</f>
        <v>1.8</v>
      </c>
      <c r="F189" s="37"/>
      <c r="G189" s="38" t="str">
        <f>Source!DI153</f>
        <v/>
      </c>
      <c r="H189" s="36">
        <f>Source!AV153</f>
        <v>1</v>
      </c>
      <c r="I189" s="37">
        <f>Source!U153</f>
        <v>1.8</v>
      </c>
      <c r="J189" s="36"/>
      <c r="K189" s="37"/>
      <c r="AB189" s="32">
        <f>I189</f>
        <v>1.8</v>
      </c>
    </row>
    <row r="190" spans="1:28" ht="15" x14ac:dyDescent="0.25">
      <c r="A190" s="39"/>
      <c r="B190" s="39"/>
      <c r="C190" s="40" t="s">
        <v>275</v>
      </c>
      <c r="D190" s="39"/>
      <c r="E190" s="39"/>
      <c r="F190" s="39"/>
      <c r="G190" s="39"/>
      <c r="H190" s="62">
        <f>I186+I187+I188</f>
        <v>69.8</v>
      </c>
      <c r="I190" s="62"/>
      <c r="J190" s="62">
        <f>K186+K187+K188</f>
        <v>1442.75</v>
      </c>
      <c r="K190" s="62"/>
      <c r="O190" s="32">
        <f>I186+I187+I188</f>
        <v>69.8</v>
      </c>
      <c r="P190" s="32">
        <f>K186+K187+K188</f>
        <v>1442.75</v>
      </c>
      <c r="X190">
        <f>IF(Source!BI153&lt;=1,I186+I187+I188-0, 0)</f>
        <v>0</v>
      </c>
      <c r="Y190">
        <f>IF(Source!BI153=2,I186+I187+I188-0, 0)</f>
        <v>0</v>
      </c>
      <c r="Z190">
        <f>IF(Source!BI153=3,I186+I187+I188-0, 0)</f>
        <v>0</v>
      </c>
      <c r="AA190">
        <f>IF(Source!BI153=4,I186+I187+I188,0)</f>
        <v>69.8</v>
      </c>
    </row>
    <row r="192" spans="1:28" ht="150.75" x14ac:dyDescent="0.2">
      <c r="A192" s="26" t="str">
        <f>Source!E154</f>
        <v>19</v>
      </c>
      <c r="B192" s="27" t="str">
        <f>Source!F154</f>
        <v>5.1-162-1</v>
      </c>
      <c r="C192" s="27" t="s">
        <v>281</v>
      </c>
      <c r="D192" s="28" t="str">
        <f>Source!H154</f>
        <v>1 измерение</v>
      </c>
      <c r="E192" s="10">
        <f>Source!I154</f>
        <v>1</v>
      </c>
      <c r="F192" s="30"/>
      <c r="G192" s="29"/>
      <c r="H192" s="10"/>
      <c r="I192" s="30"/>
      <c r="J192" s="10"/>
      <c r="K192" s="30"/>
      <c r="Q192">
        <f>ROUND((Source!DN154/100)*ROUND((Source!AF154*Source!AV154)*Source!I154, 2), 2)</f>
        <v>5.56</v>
      </c>
      <c r="R192">
        <f>Source!X154</f>
        <v>122.09</v>
      </c>
      <c r="S192">
        <f>ROUND((Source!DO154/100)*ROUND((Source!AF154*Source!AV154)*Source!I154, 2), 2)</f>
        <v>5.19</v>
      </c>
      <c r="T192">
        <f>Source!Y154</f>
        <v>73.61</v>
      </c>
      <c r="U192">
        <f>ROUND((175/100)*ROUND((Source!AE154*Source!AV154)*Source!I154, 2), 2)</f>
        <v>0</v>
      </c>
      <c r="V192">
        <f>ROUND((157/100)*ROUND(Source!CS154*Source!I154, 2), 2)</f>
        <v>0</v>
      </c>
    </row>
    <row r="193" spans="1:28" ht="14.25" x14ac:dyDescent="0.2">
      <c r="A193" s="26"/>
      <c r="B193" s="27"/>
      <c r="C193" s="27" t="s">
        <v>266</v>
      </c>
      <c r="D193" s="28"/>
      <c r="E193" s="10"/>
      <c r="F193" s="30">
        <f>Source!AO154</f>
        <v>5.7</v>
      </c>
      <c r="G193" s="29" t="str">
        <f>Source!DG154</f>
        <v>)*1,3</v>
      </c>
      <c r="H193" s="10">
        <f>Source!AV154</f>
        <v>1</v>
      </c>
      <c r="I193" s="30">
        <f>ROUND((Source!AF154*Source!AV154)*Source!I154, 2)</f>
        <v>7.41</v>
      </c>
      <c r="J193" s="10">
        <f>IF(Source!BA154&lt;&gt; 0, Source!BA154, 1)</f>
        <v>24.23</v>
      </c>
      <c r="K193" s="30">
        <f>Source!S154</f>
        <v>179.54</v>
      </c>
      <c r="W193">
        <f>I193</f>
        <v>7.41</v>
      </c>
    </row>
    <row r="194" spans="1:28" ht="14.25" x14ac:dyDescent="0.2">
      <c r="A194" s="26"/>
      <c r="B194" s="27"/>
      <c r="C194" s="27" t="s">
        <v>269</v>
      </c>
      <c r="D194" s="28" t="s">
        <v>270</v>
      </c>
      <c r="E194" s="10">
        <f>Source!DN154</f>
        <v>75</v>
      </c>
      <c r="F194" s="30"/>
      <c r="G194" s="29"/>
      <c r="H194" s="10"/>
      <c r="I194" s="30">
        <f>SUM(Q192:Q193)</f>
        <v>5.56</v>
      </c>
      <c r="J194" s="10">
        <f>Source!BZ154</f>
        <v>68</v>
      </c>
      <c r="K194" s="30">
        <f>SUM(R192:R193)</f>
        <v>122.09</v>
      </c>
    </row>
    <row r="195" spans="1:28" ht="14.25" x14ac:dyDescent="0.2">
      <c r="A195" s="26"/>
      <c r="B195" s="27"/>
      <c r="C195" s="27" t="s">
        <v>271</v>
      </c>
      <c r="D195" s="28" t="s">
        <v>270</v>
      </c>
      <c r="E195" s="10">
        <f>Source!DO154</f>
        <v>70</v>
      </c>
      <c r="F195" s="30"/>
      <c r="G195" s="29"/>
      <c r="H195" s="10"/>
      <c r="I195" s="30">
        <f>SUM(S192:S194)</f>
        <v>5.19</v>
      </c>
      <c r="J195" s="10">
        <f>Source!CA154</f>
        <v>41</v>
      </c>
      <c r="K195" s="30">
        <f>SUM(T192:T194)</f>
        <v>73.61</v>
      </c>
    </row>
    <row r="196" spans="1:28" ht="14.25" x14ac:dyDescent="0.2">
      <c r="A196" s="33"/>
      <c r="B196" s="34"/>
      <c r="C196" s="34" t="s">
        <v>273</v>
      </c>
      <c r="D196" s="35" t="s">
        <v>274</v>
      </c>
      <c r="E196" s="36">
        <f>Source!AQ154</f>
        <v>0.36</v>
      </c>
      <c r="F196" s="37"/>
      <c r="G196" s="38" t="str">
        <f>Source!DI154</f>
        <v>)*1,3</v>
      </c>
      <c r="H196" s="36">
        <f>Source!AV154</f>
        <v>1</v>
      </c>
      <c r="I196" s="37">
        <f>Source!U154</f>
        <v>0.46799999999999997</v>
      </c>
      <c r="J196" s="36"/>
      <c r="K196" s="37"/>
      <c r="AB196" s="32">
        <f>I196</f>
        <v>0.46799999999999997</v>
      </c>
    </row>
    <row r="197" spans="1:28" ht="15" x14ac:dyDescent="0.25">
      <c r="A197" s="39"/>
      <c r="B197" s="39"/>
      <c r="C197" s="40" t="s">
        <v>275</v>
      </c>
      <c r="D197" s="39"/>
      <c r="E197" s="39"/>
      <c r="F197" s="39"/>
      <c r="G197" s="39"/>
      <c r="H197" s="62">
        <f>I193+I194+I195</f>
        <v>18.16</v>
      </c>
      <c r="I197" s="62"/>
      <c r="J197" s="62">
        <f>K193+K194+K195</f>
        <v>375.24</v>
      </c>
      <c r="K197" s="62"/>
      <c r="O197" s="32">
        <f>I193+I194+I195</f>
        <v>18.16</v>
      </c>
      <c r="P197" s="32">
        <f>K193+K194+K195</f>
        <v>375.24</v>
      </c>
      <c r="X197">
        <f>IF(Source!BI154&lt;=1,I193+I194+I195-0, 0)</f>
        <v>0</v>
      </c>
      <c r="Y197">
        <f>IF(Source!BI154=2,I193+I194+I195-0, 0)</f>
        <v>0</v>
      </c>
      <c r="Z197">
        <f>IF(Source!BI154=3,I193+I194+I195-0, 0)</f>
        <v>0</v>
      </c>
      <c r="AA197">
        <f>IF(Source!BI154=4,I193+I194+I195,0)</f>
        <v>18.16</v>
      </c>
    </row>
    <row r="199" spans="1:28" ht="42.75" x14ac:dyDescent="0.2">
      <c r="A199" s="26" t="str">
        <f>Source!E155</f>
        <v>20</v>
      </c>
      <c r="B199" s="27" t="str">
        <f>Source!F155</f>
        <v>5.1-167-1</v>
      </c>
      <c r="C199" s="27" t="s">
        <v>191</v>
      </c>
      <c r="D199" s="28" t="str">
        <f>Source!H155</f>
        <v>1 испытание</v>
      </c>
      <c r="E199" s="10">
        <f>Source!I155</f>
        <v>2</v>
      </c>
      <c r="F199" s="30"/>
      <c r="G199" s="29"/>
      <c r="H199" s="10"/>
      <c r="I199" s="30"/>
      <c r="J199" s="10"/>
      <c r="K199" s="30"/>
      <c r="Q199">
        <f>ROUND((Source!DN155/100)*ROUND((Source!AF155*Source!AV155)*Source!I155, 2), 2)</f>
        <v>68.599999999999994</v>
      </c>
      <c r="R199">
        <f>Source!X155</f>
        <v>1506.93</v>
      </c>
      <c r="S199">
        <f>ROUND((Source!DO155/100)*ROUND((Source!AF155*Source!AV155)*Source!I155, 2), 2)</f>
        <v>64.02</v>
      </c>
      <c r="T199">
        <f>Source!Y155</f>
        <v>908.59</v>
      </c>
      <c r="U199">
        <f>ROUND((175/100)*ROUND((Source!AE155*Source!AV155)*Source!I155, 2), 2)</f>
        <v>0</v>
      </c>
      <c r="V199">
        <f>ROUND((157/100)*ROUND(Source!CS155*Source!I155, 2), 2)</f>
        <v>0</v>
      </c>
    </row>
    <row r="200" spans="1:28" ht="14.25" x14ac:dyDescent="0.2">
      <c r="A200" s="26"/>
      <c r="B200" s="27"/>
      <c r="C200" s="27" t="s">
        <v>266</v>
      </c>
      <c r="D200" s="28"/>
      <c r="E200" s="10"/>
      <c r="F200" s="30">
        <f>Source!AO155</f>
        <v>45.73</v>
      </c>
      <c r="G200" s="29" t="str">
        <f>Source!DG155</f>
        <v/>
      </c>
      <c r="H200" s="10">
        <f>Source!AV155</f>
        <v>1</v>
      </c>
      <c r="I200" s="30">
        <f>ROUND((Source!AF155*Source!AV155)*Source!I155, 2)</f>
        <v>91.46</v>
      </c>
      <c r="J200" s="10">
        <f>IF(Source!BA155&lt;&gt; 0, Source!BA155, 1)</f>
        <v>24.23</v>
      </c>
      <c r="K200" s="30">
        <f>Source!S155</f>
        <v>2216.08</v>
      </c>
      <c r="W200">
        <f>I200</f>
        <v>91.46</v>
      </c>
    </row>
    <row r="201" spans="1:28" ht="14.25" x14ac:dyDescent="0.2">
      <c r="A201" s="26"/>
      <c r="B201" s="27"/>
      <c r="C201" s="27" t="s">
        <v>269</v>
      </c>
      <c r="D201" s="28" t="s">
        <v>270</v>
      </c>
      <c r="E201" s="10">
        <f>Source!DN155</f>
        <v>75</v>
      </c>
      <c r="F201" s="30"/>
      <c r="G201" s="29"/>
      <c r="H201" s="10"/>
      <c r="I201" s="30">
        <f>SUM(Q199:Q200)</f>
        <v>68.599999999999994</v>
      </c>
      <c r="J201" s="10">
        <f>Source!BZ155</f>
        <v>68</v>
      </c>
      <c r="K201" s="30">
        <f>SUM(R199:R200)</f>
        <v>1506.93</v>
      </c>
    </row>
    <row r="202" spans="1:28" ht="14.25" x14ac:dyDescent="0.2">
      <c r="A202" s="26"/>
      <c r="B202" s="27"/>
      <c r="C202" s="27" t="s">
        <v>271</v>
      </c>
      <c r="D202" s="28" t="s">
        <v>270</v>
      </c>
      <c r="E202" s="10">
        <f>Source!DO155</f>
        <v>70</v>
      </c>
      <c r="F202" s="30"/>
      <c r="G202" s="29"/>
      <c r="H202" s="10"/>
      <c r="I202" s="30">
        <f>SUM(S199:S201)</f>
        <v>64.02</v>
      </c>
      <c r="J202" s="10">
        <f>Source!CA155</f>
        <v>41</v>
      </c>
      <c r="K202" s="30">
        <f>SUM(T199:T201)</f>
        <v>908.59</v>
      </c>
    </row>
    <row r="203" spans="1:28" ht="14.25" x14ac:dyDescent="0.2">
      <c r="A203" s="33"/>
      <c r="B203" s="34"/>
      <c r="C203" s="34" t="s">
        <v>273</v>
      </c>
      <c r="D203" s="35" t="s">
        <v>274</v>
      </c>
      <c r="E203" s="36">
        <f>Source!AQ155</f>
        <v>2.7</v>
      </c>
      <c r="F203" s="37"/>
      <c r="G203" s="38" t="str">
        <f>Source!DI155</f>
        <v/>
      </c>
      <c r="H203" s="36">
        <f>Source!AV155</f>
        <v>1</v>
      </c>
      <c r="I203" s="37">
        <f>Source!U155</f>
        <v>5.4</v>
      </c>
      <c r="J203" s="36"/>
      <c r="K203" s="37"/>
      <c r="AB203" s="32">
        <f>I203</f>
        <v>5.4</v>
      </c>
    </row>
    <row r="204" spans="1:28" ht="15" x14ac:dyDescent="0.25">
      <c r="A204" s="39"/>
      <c r="B204" s="39"/>
      <c r="C204" s="40" t="s">
        <v>275</v>
      </c>
      <c r="D204" s="39"/>
      <c r="E204" s="39"/>
      <c r="F204" s="39"/>
      <c r="G204" s="39"/>
      <c r="H204" s="62">
        <f>I200+I201+I202</f>
        <v>224.07999999999998</v>
      </c>
      <c r="I204" s="62"/>
      <c r="J204" s="62">
        <f>K200+K201+K202</f>
        <v>4631.6000000000004</v>
      </c>
      <c r="K204" s="62"/>
      <c r="O204" s="32">
        <f>I200+I201+I202</f>
        <v>224.07999999999998</v>
      </c>
      <c r="P204" s="32">
        <f>K200+K201+K202</f>
        <v>4631.6000000000004</v>
      </c>
      <c r="X204">
        <f>IF(Source!BI155&lt;=1,I200+I201+I202-0, 0)</f>
        <v>0</v>
      </c>
      <c r="Y204">
        <f>IF(Source!BI155=2,I200+I201+I202-0, 0)</f>
        <v>0</v>
      </c>
      <c r="Z204">
        <f>IF(Source!BI155=3,I200+I201+I202-0, 0)</f>
        <v>0</v>
      </c>
      <c r="AA204">
        <f>IF(Source!BI155=4,I200+I201+I202,0)</f>
        <v>224.07999999999998</v>
      </c>
    </row>
    <row r="206" spans="1:28" ht="57" x14ac:dyDescent="0.2">
      <c r="A206" s="26" t="str">
        <f>Source!E156</f>
        <v>21</v>
      </c>
      <c r="B206" s="27" t="str">
        <f>Source!F156</f>
        <v>5.1-173-1</v>
      </c>
      <c r="C206" s="27" t="s">
        <v>196</v>
      </c>
      <c r="D206" s="28" t="str">
        <f>Source!H156</f>
        <v>1 испытание</v>
      </c>
      <c r="E206" s="10">
        <f>Source!I156</f>
        <v>3</v>
      </c>
      <c r="F206" s="30"/>
      <c r="G206" s="29"/>
      <c r="H206" s="10"/>
      <c r="I206" s="30"/>
      <c r="J206" s="10"/>
      <c r="K206" s="30"/>
      <c r="Q206">
        <f>ROUND((Source!DN156/100)*ROUND((Source!AF156*Source!AV156)*Source!I156, 2), 2)</f>
        <v>98.24</v>
      </c>
      <c r="R206">
        <f>Source!X156</f>
        <v>2158.08</v>
      </c>
      <c r="S206">
        <f>ROUND((Source!DO156/100)*ROUND((Source!AF156*Source!AV156)*Source!I156, 2), 2)</f>
        <v>91.69</v>
      </c>
      <c r="T206">
        <f>Source!Y156</f>
        <v>1301.2</v>
      </c>
      <c r="U206">
        <f>ROUND((175/100)*ROUND((Source!AE156*Source!AV156)*Source!I156, 2), 2)</f>
        <v>0</v>
      </c>
      <c r="V206">
        <f>ROUND((157/100)*ROUND(Source!CS156*Source!I156, 2), 2)</f>
        <v>0</v>
      </c>
    </row>
    <row r="207" spans="1:28" ht="14.25" x14ac:dyDescent="0.2">
      <c r="A207" s="26"/>
      <c r="B207" s="27"/>
      <c r="C207" s="27" t="s">
        <v>266</v>
      </c>
      <c r="D207" s="28"/>
      <c r="E207" s="10"/>
      <c r="F207" s="30">
        <f>Source!AO156</f>
        <v>43.66</v>
      </c>
      <c r="G207" s="29" t="str">
        <f>Source!DG156</f>
        <v/>
      </c>
      <c r="H207" s="10">
        <f>Source!AV156</f>
        <v>1</v>
      </c>
      <c r="I207" s="30">
        <f>ROUND((Source!AF156*Source!AV156)*Source!I156, 2)</f>
        <v>130.97999999999999</v>
      </c>
      <c r="J207" s="10">
        <f>IF(Source!BA156&lt;&gt; 0, Source!BA156, 1)</f>
        <v>24.23</v>
      </c>
      <c r="K207" s="30">
        <f>Source!S156</f>
        <v>3173.65</v>
      </c>
      <c r="W207">
        <f>I207</f>
        <v>130.97999999999999</v>
      </c>
    </row>
    <row r="208" spans="1:28" ht="14.25" x14ac:dyDescent="0.2">
      <c r="A208" s="26"/>
      <c r="B208" s="27"/>
      <c r="C208" s="27" t="s">
        <v>269</v>
      </c>
      <c r="D208" s="28" t="s">
        <v>270</v>
      </c>
      <c r="E208" s="10">
        <f>Source!DN156</f>
        <v>75</v>
      </c>
      <c r="F208" s="30"/>
      <c r="G208" s="29"/>
      <c r="H208" s="10"/>
      <c r="I208" s="30">
        <f>SUM(Q206:Q207)</f>
        <v>98.24</v>
      </c>
      <c r="J208" s="10">
        <f>Source!BZ156</f>
        <v>68</v>
      </c>
      <c r="K208" s="30">
        <f>SUM(R206:R207)</f>
        <v>2158.08</v>
      </c>
    </row>
    <row r="209" spans="1:28" ht="14.25" x14ac:dyDescent="0.2">
      <c r="A209" s="26"/>
      <c r="B209" s="27"/>
      <c r="C209" s="27" t="s">
        <v>271</v>
      </c>
      <c r="D209" s="28" t="s">
        <v>270</v>
      </c>
      <c r="E209" s="10">
        <f>Source!DO156</f>
        <v>70</v>
      </c>
      <c r="F209" s="30"/>
      <c r="G209" s="29"/>
      <c r="H209" s="10"/>
      <c r="I209" s="30">
        <f>SUM(S206:S208)</f>
        <v>91.69</v>
      </c>
      <c r="J209" s="10">
        <f>Source!CA156</f>
        <v>41</v>
      </c>
      <c r="K209" s="30">
        <f>SUM(T206:T208)</f>
        <v>1301.2</v>
      </c>
    </row>
    <row r="210" spans="1:28" ht="14.25" x14ac:dyDescent="0.2">
      <c r="A210" s="33"/>
      <c r="B210" s="34"/>
      <c r="C210" s="34" t="s">
        <v>273</v>
      </c>
      <c r="D210" s="35" t="s">
        <v>274</v>
      </c>
      <c r="E210" s="36">
        <f>Source!AQ156</f>
        <v>2.7</v>
      </c>
      <c r="F210" s="37"/>
      <c r="G210" s="38" t="str">
        <f>Source!DI156</f>
        <v/>
      </c>
      <c r="H210" s="36">
        <f>Source!AV156</f>
        <v>1</v>
      </c>
      <c r="I210" s="37">
        <f>Source!U156</f>
        <v>8.1000000000000014</v>
      </c>
      <c r="J210" s="36"/>
      <c r="K210" s="37"/>
      <c r="AB210" s="32">
        <f>I210</f>
        <v>8.1000000000000014</v>
      </c>
    </row>
    <row r="211" spans="1:28" ht="15" x14ac:dyDescent="0.25">
      <c r="A211" s="39"/>
      <c r="B211" s="39"/>
      <c r="C211" s="40" t="s">
        <v>275</v>
      </c>
      <c r="D211" s="39"/>
      <c r="E211" s="39"/>
      <c r="F211" s="39"/>
      <c r="G211" s="39"/>
      <c r="H211" s="62">
        <f>I207+I208+I209</f>
        <v>320.90999999999997</v>
      </c>
      <c r="I211" s="62"/>
      <c r="J211" s="62">
        <f>K207+K208+K209</f>
        <v>6632.9299999999994</v>
      </c>
      <c r="K211" s="62"/>
      <c r="O211" s="32">
        <f>I207+I208+I209</f>
        <v>320.90999999999997</v>
      </c>
      <c r="P211" s="32">
        <f>K207+K208+K209</f>
        <v>6632.9299999999994</v>
      </c>
      <c r="X211">
        <f>IF(Source!BI156&lt;=1,I207+I208+I209-0, 0)</f>
        <v>0</v>
      </c>
      <c r="Y211">
        <f>IF(Source!BI156=2,I207+I208+I209-0, 0)</f>
        <v>0</v>
      </c>
      <c r="Z211">
        <f>IF(Source!BI156=3,I207+I208+I209-0, 0)</f>
        <v>0</v>
      </c>
      <c r="AA211">
        <f>IF(Source!BI156=4,I207+I208+I209,0)</f>
        <v>320.90999999999997</v>
      </c>
    </row>
    <row r="213" spans="1:28" ht="42.75" x14ac:dyDescent="0.2">
      <c r="A213" s="26" t="str">
        <f>Source!E157</f>
        <v>22</v>
      </c>
      <c r="B213" s="27" t="str">
        <f>Source!F157</f>
        <v>5.1-177-1</v>
      </c>
      <c r="C213" s="27" t="s">
        <v>200</v>
      </c>
      <c r="D213" s="28" t="str">
        <f>Source!H157</f>
        <v>1 испытание</v>
      </c>
      <c r="E213" s="10">
        <f>Source!I157</f>
        <v>1</v>
      </c>
      <c r="F213" s="30"/>
      <c r="G213" s="29"/>
      <c r="H213" s="10"/>
      <c r="I213" s="30"/>
      <c r="J213" s="10"/>
      <c r="K213" s="30"/>
      <c r="Q213">
        <f>ROUND((Source!DN157/100)*ROUND((Source!AF157*Source!AV157)*Source!I157, 2), 2)</f>
        <v>21.32</v>
      </c>
      <c r="R213">
        <f>Source!X157</f>
        <v>468.26</v>
      </c>
      <c r="S213">
        <f>ROUND((Source!DO157/100)*ROUND((Source!AF157*Source!AV157)*Source!I157, 2), 2)</f>
        <v>19.89</v>
      </c>
      <c r="T213">
        <f>Source!Y157</f>
        <v>282.33</v>
      </c>
      <c r="U213">
        <f>ROUND((175/100)*ROUND((Source!AE157*Source!AV157)*Source!I157, 2), 2)</f>
        <v>0</v>
      </c>
      <c r="V213">
        <f>ROUND((157/100)*ROUND(Source!CS157*Source!I157, 2), 2)</f>
        <v>0</v>
      </c>
    </row>
    <row r="214" spans="1:28" ht="14.25" x14ac:dyDescent="0.2">
      <c r="A214" s="26"/>
      <c r="B214" s="27"/>
      <c r="C214" s="27" t="s">
        <v>266</v>
      </c>
      <c r="D214" s="28"/>
      <c r="E214" s="10"/>
      <c r="F214" s="30">
        <f>Source!AO157</f>
        <v>28.42</v>
      </c>
      <c r="G214" s="29" t="str">
        <f>Source!DG157</f>
        <v/>
      </c>
      <c r="H214" s="10">
        <f>Source!AV157</f>
        <v>1</v>
      </c>
      <c r="I214" s="30">
        <f>ROUND((Source!AF157*Source!AV157)*Source!I157, 2)</f>
        <v>28.42</v>
      </c>
      <c r="J214" s="10">
        <f>IF(Source!BA157&lt;&gt; 0, Source!BA157, 1)</f>
        <v>24.23</v>
      </c>
      <c r="K214" s="30">
        <f>Source!S157</f>
        <v>688.62</v>
      </c>
      <c r="W214">
        <f>I214</f>
        <v>28.42</v>
      </c>
    </row>
    <row r="215" spans="1:28" ht="14.25" x14ac:dyDescent="0.2">
      <c r="A215" s="26"/>
      <c r="B215" s="27"/>
      <c r="C215" s="27" t="s">
        <v>269</v>
      </c>
      <c r="D215" s="28" t="s">
        <v>270</v>
      </c>
      <c r="E215" s="10">
        <f>Source!DN157</f>
        <v>75</v>
      </c>
      <c r="F215" s="30"/>
      <c r="G215" s="29"/>
      <c r="H215" s="10"/>
      <c r="I215" s="30">
        <f>SUM(Q213:Q214)</f>
        <v>21.32</v>
      </c>
      <c r="J215" s="10">
        <f>Source!BZ157</f>
        <v>68</v>
      </c>
      <c r="K215" s="30">
        <f>SUM(R213:R214)</f>
        <v>468.26</v>
      </c>
    </row>
    <row r="216" spans="1:28" ht="14.25" x14ac:dyDescent="0.2">
      <c r="A216" s="26"/>
      <c r="B216" s="27"/>
      <c r="C216" s="27" t="s">
        <v>271</v>
      </c>
      <c r="D216" s="28" t="s">
        <v>270</v>
      </c>
      <c r="E216" s="10">
        <f>Source!DO157</f>
        <v>70</v>
      </c>
      <c r="F216" s="30"/>
      <c r="G216" s="29"/>
      <c r="H216" s="10"/>
      <c r="I216" s="30">
        <f>SUM(S213:S215)</f>
        <v>19.89</v>
      </c>
      <c r="J216" s="10">
        <f>Source!CA157</f>
        <v>41</v>
      </c>
      <c r="K216" s="30">
        <f>SUM(T213:T215)</f>
        <v>282.33</v>
      </c>
    </row>
    <row r="217" spans="1:28" ht="14.25" x14ac:dyDescent="0.2">
      <c r="A217" s="33"/>
      <c r="B217" s="34"/>
      <c r="C217" s="34" t="s">
        <v>273</v>
      </c>
      <c r="D217" s="35" t="s">
        <v>274</v>
      </c>
      <c r="E217" s="36">
        <f>Source!AQ157</f>
        <v>1.8</v>
      </c>
      <c r="F217" s="37"/>
      <c r="G217" s="38" t="str">
        <f>Source!DI157</f>
        <v/>
      </c>
      <c r="H217" s="36">
        <f>Source!AV157</f>
        <v>1</v>
      </c>
      <c r="I217" s="37">
        <f>Source!U157</f>
        <v>1.8</v>
      </c>
      <c r="J217" s="36"/>
      <c r="K217" s="37"/>
      <c r="AB217" s="32">
        <f>I217</f>
        <v>1.8</v>
      </c>
    </row>
    <row r="218" spans="1:28" ht="15" x14ac:dyDescent="0.25">
      <c r="A218" s="39"/>
      <c r="B218" s="39"/>
      <c r="C218" s="40" t="s">
        <v>275</v>
      </c>
      <c r="D218" s="39"/>
      <c r="E218" s="39"/>
      <c r="F218" s="39"/>
      <c r="G218" s="39"/>
      <c r="H218" s="62">
        <f>I214+I215+I216</f>
        <v>69.63</v>
      </c>
      <c r="I218" s="62"/>
      <c r="J218" s="62">
        <f>K214+K215+K216</f>
        <v>1439.21</v>
      </c>
      <c r="K218" s="62"/>
      <c r="O218" s="32">
        <f>I214+I215+I216</f>
        <v>69.63</v>
      </c>
      <c r="P218" s="32">
        <f>K214+K215+K216</f>
        <v>1439.21</v>
      </c>
      <c r="X218">
        <f>IF(Source!BI157&lt;=1,I214+I215+I216-0, 0)</f>
        <v>0</v>
      </c>
      <c r="Y218">
        <f>IF(Source!BI157=2,I214+I215+I216-0, 0)</f>
        <v>0</v>
      </c>
      <c r="Z218">
        <f>IF(Source!BI157=3,I214+I215+I216-0, 0)</f>
        <v>0</v>
      </c>
      <c r="AA218">
        <f>IF(Source!BI157=4,I214+I215+I216,0)</f>
        <v>69.63</v>
      </c>
    </row>
    <row r="221" spans="1:28" ht="15" x14ac:dyDescent="0.25">
      <c r="A221" s="59" t="str">
        <f>CONCATENATE("Итого по разделу: ",IF(Source!G159&lt;&gt;"Новый раздел", Source!G159, ""))</f>
        <v>Итого по разделу: Пусконаладочные работы</v>
      </c>
      <c r="B221" s="59"/>
      <c r="C221" s="59"/>
      <c r="D221" s="59"/>
      <c r="E221" s="59"/>
      <c r="F221" s="59"/>
      <c r="G221" s="59"/>
      <c r="H221" s="60">
        <f>SUM(O163:O220)</f>
        <v>2425.6200000000003</v>
      </c>
      <c r="I221" s="61"/>
      <c r="J221" s="60">
        <f>SUM(P163:P220)</f>
        <v>50136.34</v>
      </c>
      <c r="K221" s="61"/>
    </row>
    <row r="222" spans="1:28" hidden="1" x14ac:dyDescent="0.2">
      <c r="A222" t="s">
        <v>277</v>
      </c>
      <c r="I222">
        <f>SUM(AC163:AC221)</f>
        <v>0</v>
      </c>
      <c r="J222">
        <f>SUM(AD163:AD221)</f>
        <v>0</v>
      </c>
    </row>
    <row r="223" spans="1:28" hidden="1" x14ac:dyDescent="0.2">
      <c r="A223" t="s">
        <v>278</v>
      </c>
      <c r="I223">
        <f>SUM(AE163:AE222)</f>
        <v>0</v>
      </c>
      <c r="J223">
        <f>SUM(AF163:AF222)</f>
        <v>0</v>
      </c>
    </row>
    <row r="225" spans="1:40" ht="15" x14ac:dyDescent="0.25">
      <c r="A225" s="59" t="str">
        <f>CONCATENATE("Итого по локальной смете: ",IF(Source!G189&lt;&gt;"Новая локальная смета", Source!G189, ""))</f>
        <v>Итого по локальной смете: Замена силового трансформатора ТМГ 1000\10\0,4 кВ</v>
      </c>
      <c r="B225" s="59"/>
      <c r="C225" s="59"/>
      <c r="D225" s="59"/>
      <c r="E225" s="59"/>
      <c r="F225" s="59"/>
      <c r="G225" s="59"/>
      <c r="H225" s="60">
        <f>SUM(O36:O224)</f>
        <v>123547.40000000002</v>
      </c>
      <c r="I225" s="61"/>
      <c r="J225" s="60">
        <f>SUM(P36:P224)</f>
        <v>715997.98</v>
      </c>
      <c r="K225" s="61"/>
      <c r="AL225" s="51" t="str">
        <f>CONCATENATE("Итого по локальной смете: ",IF(Source!G189&lt;&gt;"Новая локальная смета", Source!G189, ""))</f>
        <v>Итого по локальной смете: Замена силового трансформатора ТМГ 1000\10\0,4 кВ</v>
      </c>
    </row>
    <row r="226" spans="1:40" hidden="1" x14ac:dyDescent="0.2">
      <c r="A226" t="s">
        <v>277</v>
      </c>
      <c r="I226">
        <f>SUM(AC36:AC225)</f>
        <v>0</v>
      </c>
      <c r="J226">
        <f>SUM(AD36:AD225)</f>
        <v>0</v>
      </c>
    </row>
    <row r="227" spans="1:40" hidden="1" x14ac:dyDescent="0.2">
      <c r="A227" t="s">
        <v>278</v>
      </c>
      <c r="I227">
        <f>SUM(AE36:AE226)</f>
        <v>0</v>
      </c>
      <c r="J227">
        <f>SUM(AF36:AF226)</f>
        <v>0</v>
      </c>
    </row>
    <row r="229" spans="1:40" ht="15" x14ac:dyDescent="0.25">
      <c r="A229" s="59" t="str">
        <f>CONCATENATE("Итого по смете: ",IF(Source!G221&lt;&gt;"Новый объект", Source!G221, ""))</f>
        <v>Итого по смете: г. Москва, МКАД_(01.10.2020)</v>
      </c>
      <c r="B229" s="59"/>
      <c r="C229" s="59"/>
      <c r="D229" s="59"/>
      <c r="E229" s="59"/>
      <c r="F229" s="59"/>
      <c r="G229" s="59"/>
      <c r="H229" s="60">
        <f>SUM(O1:O228)</f>
        <v>123547.40000000002</v>
      </c>
      <c r="I229" s="61"/>
      <c r="J229" s="60">
        <f>SUM(P1:P228)</f>
        <v>715997.98</v>
      </c>
      <c r="K229" s="61"/>
    </row>
    <row r="230" spans="1:40" hidden="1" x14ac:dyDescent="0.2">
      <c r="A230" t="s">
        <v>277</v>
      </c>
      <c r="I230">
        <f>SUM(AC1:AC229)</f>
        <v>0</v>
      </c>
      <c r="J230">
        <f>SUM(AD1:AD229)</f>
        <v>0</v>
      </c>
    </row>
    <row r="231" spans="1:40" hidden="1" x14ac:dyDescent="0.2">
      <c r="A231" t="s">
        <v>278</v>
      </c>
      <c r="I231">
        <f>SUM(AE1:AE230)</f>
        <v>0</v>
      </c>
      <c r="J231">
        <f>SUM(AF1:AF230)</f>
        <v>0</v>
      </c>
    </row>
    <row r="232" spans="1:40" ht="14.25" x14ac:dyDescent="0.2">
      <c r="C232" s="56" t="str">
        <f>Source!H250</f>
        <v>Итого</v>
      </c>
      <c r="D232" s="56"/>
      <c r="E232" s="56"/>
      <c r="F232" s="56"/>
      <c r="G232" s="56"/>
      <c r="H232" s="56"/>
      <c r="I232" s="56"/>
      <c r="J232" s="58">
        <f>IF(Source!F250=0, "", Source!F250)</f>
        <v>715997.98</v>
      </c>
      <c r="K232" s="58"/>
    </row>
    <row r="233" spans="1:40" ht="28.5" x14ac:dyDescent="0.2">
      <c r="C233" s="56" t="str">
        <f>Source!H251</f>
        <v>тех. часть  ТСН-2001.5-1 п. 8.1. Составление технического отчета до 1,5 % стоимости выполненных пусконаладочных работ</v>
      </c>
      <c r="D233" s="56"/>
      <c r="E233" s="56"/>
      <c r="F233" s="56"/>
      <c r="G233" s="56"/>
      <c r="H233" s="56"/>
      <c r="I233" s="56"/>
      <c r="J233" s="58">
        <f>IF(Source!F251=0, "", Source!F251)</f>
        <v>752.05</v>
      </c>
      <c r="K233" s="58"/>
      <c r="AN233" s="52" t="s">
        <v>204</v>
      </c>
    </row>
    <row r="234" spans="1:40" ht="14.25" x14ac:dyDescent="0.2">
      <c r="C234" s="56" t="str">
        <f>Source!H252</f>
        <v>Итого с составлением технического отчета</v>
      </c>
      <c r="D234" s="56"/>
      <c r="E234" s="56"/>
      <c r="F234" s="56"/>
      <c r="G234" s="56"/>
      <c r="H234" s="56"/>
      <c r="I234" s="56"/>
      <c r="J234" s="58">
        <f>IF(Source!F252=0, "", Source!F252)</f>
        <v>716750.03</v>
      </c>
      <c r="K234" s="58"/>
    </row>
    <row r="235" spans="1:40" ht="14.25" x14ac:dyDescent="0.2">
      <c r="C235" s="56" t="str">
        <f>Source!H253</f>
        <v>НДС 20%</v>
      </c>
      <c r="D235" s="56"/>
      <c r="E235" s="56"/>
      <c r="F235" s="56"/>
      <c r="G235" s="56"/>
      <c r="H235" s="56"/>
      <c r="I235" s="56"/>
      <c r="J235" s="57">
        <f>IF(Source!F253=0, "", Source!F253)</f>
        <v>143350.00600000002</v>
      </c>
      <c r="K235" s="57"/>
    </row>
    <row r="236" spans="1:40" ht="14.25" x14ac:dyDescent="0.2">
      <c r="C236" s="56" t="str">
        <f>Source!H254</f>
        <v>Итого с НДС</v>
      </c>
      <c r="D236" s="56"/>
      <c r="E236" s="56"/>
      <c r="F236" s="56"/>
      <c r="G236" s="56"/>
      <c r="H236" s="56"/>
      <c r="I236" s="56"/>
      <c r="J236" s="58">
        <f>IF(Source!F254=0, "", Source!F254)</f>
        <v>860100.04</v>
      </c>
      <c r="K236" s="58"/>
    </row>
    <row r="239" spans="1:40" ht="14.25" x14ac:dyDescent="0.2">
      <c r="A239" s="54" t="s">
        <v>283</v>
      </c>
      <c r="B239" s="54"/>
      <c r="C239" s="53" t="str">
        <f>IF(Source!AC12&lt;&gt;"", Source!AC12," ")</f>
        <v xml:space="preserve"> </v>
      </c>
      <c r="D239" s="53"/>
      <c r="E239" s="53"/>
      <c r="F239" s="53"/>
      <c r="G239" s="53"/>
      <c r="H239" s="11" t="str">
        <f>IF(Source!AB12&lt;&gt;"", Source!AB12," ")</f>
        <v xml:space="preserve"> </v>
      </c>
      <c r="I239" s="11"/>
      <c r="J239" s="11"/>
      <c r="K239" s="11"/>
    </row>
    <row r="240" spans="1:40" ht="14.25" x14ac:dyDescent="0.2">
      <c r="A240" s="11"/>
      <c r="B240" s="11"/>
      <c r="C240" s="55" t="s">
        <v>284</v>
      </c>
      <c r="D240" s="55"/>
      <c r="E240" s="55"/>
      <c r="F240" s="55"/>
      <c r="G240" s="55"/>
      <c r="H240" s="11"/>
      <c r="I240" s="11"/>
      <c r="J240" s="11"/>
      <c r="K240" s="11"/>
    </row>
    <row r="241" spans="1:11" ht="14.25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</row>
    <row r="242" spans="1:11" ht="14.25" x14ac:dyDescent="0.2">
      <c r="A242" s="54" t="s">
        <v>285</v>
      </c>
      <c r="B242" s="54"/>
      <c r="C242" s="53" t="str">
        <f>IF(Source!AE12&lt;&gt;"", Source!AE12," ")</f>
        <v xml:space="preserve"> </v>
      </c>
      <c r="D242" s="53"/>
      <c r="E242" s="53"/>
      <c r="F242" s="53"/>
      <c r="G242" s="53"/>
      <c r="H242" s="11" t="str">
        <f>IF(Source!AD12&lt;&gt;"", Source!AD12," ")</f>
        <v xml:space="preserve"> </v>
      </c>
      <c r="I242" s="11"/>
      <c r="J242" s="11"/>
      <c r="K242" s="11"/>
    </row>
    <row r="243" spans="1:11" ht="14.25" x14ac:dyDescent="0.2">
      <c r="A243" s="11"/>
      <c r="B243" s="11"/>
      <c r="C243" s="55" t="s">
        <v>284</v>
      </c>
      <c r="D243" s="55"/>
      <c r="E243" s="55"/>
      <c r="F243" s="55"/>
      <c r="G243" s="55"/>
      <c r="H243" s="11"/>
      <c r="I243" s="11"/>
      <c r="J243" s="11"/>
      <c r="K243" s="11"/>
    </row>
  </sheetData>
  <mergeCells count="106">
    <mergeCell ref="B3:E3"/>
    <mergeCell ref="G3:K3"/>
    <mergeCell ref="B4:E4"/>
    <mergeCell ref="G4:K4"/>
    <mergeCell ref="B6:E6"/>
    <mergeCell ref="G6:K6"/>
    <mergeCell ref="A16:K16"/>
    <mergeCell ref="A18:K18"/>
    <mergeCell ref="F21:H21"/>
    <mergeCell ref="F22:H22"/>
    <mergeCell ref="F23:H23"/>
    <mergeCell ref="F24:H24"/>
    <mergeCell ref="B7:E7"/>
    <mergeCell ref="G7:K7"/>
    <mergeCell ref="A10:K10"/>
    <mergeCell ref="A11:K11"/>
    <mergeCell ref="A13:K13"/>
    <mergeCell ref="A15:K15"/>
    <mergeCell ref="A38:K38"/>
    <mergeCell ref="B40:J40"/>
    <mergeCell ref="J49:K49"/>
    <mergeCell ref="H49:I49"/>
    <mergeCell ref="J61:K61"/>
    <mergeCell ref="H61:I61"/>
    <mergeCell ref="F25:H25"/>
    <mergeCell ref="F26:H26"/>
    <mergeCell ref="F27:H27"/>
    <mergeCell ref="F29:H29"/>
    <mergeCell ref="A32:K32"/>
    <mergeCell ref="A36:K36"/>
    <mergeCell ref="J79:K79"/>
    <mergeCell ref="H79:I79"/>
    <mergeCell ref="A79:G79"/>
    <mergeCell ref="A83:K83"/>
    <mergeCell ref="J93:K93"/>
    <mergeCell ref="H93:I93"/>
    <mergeCell ref="J68:K68"/>
    <mergeCell ref="H68:I68"/>
    <mergeCell ref="J72:K72"/>
    <mergeCell ref="H72:I72"/>
    <mergeCell ref="J76:K76"/>
    <mergeCell ref="H76:I76"/>
    <mergeCell ref="A110:G110"/>
    <mergeCell ref="A114:K114"/>
    <mergeCell ref="B116:J116"/>
    <mergeCell ref="J126:K126"/>
    <mergeCell ref="H126:I126"/>
    <mergeCell ref="J129:K129"/>
    <mergeCell ref="H129:I129"/>
    <mergeCell ref="J104:K104"/>
    <mergeCell ref="H104:I104"/>
    <mergeCell ref="J107:K107"/>
    <mergeCell ref="H107:I107"/>
    <mergeCell ref="J110:K110"/>
    <mergeCell ref="H110:I110"/>
    <mergeCell ref="J156:K156"/>
    <mergeCell ref="H156:I156"/>
    <mergeCell ref="J159:K159"/>
    <mergeCell ref="H159:I159"/>
    <mergeCell ref="A159:G159"/>
    <mergeCell ref="A163:K163"/>
    <mergeCell ref="J141:K141"/>
    <mergeCell ref="H141:I141"/>
    <mergeCell ref="J144:K144"/>
    <mergeCell ref="H144:I144"/>
    <mergeCell ref="J153:K153"/>
    <mergeCell ref="H153:I153"/>
    <mergeCell ref="J190:K190"/>
    <mergeCell ref="H190:I190"/>
    <mergeCell ref="J197:K197"/>
    <mergeCell ref="H197:I197"/>
    <mergeCell ref="J204:K204"/>
    <mergeCell ref="H204:I204"/>
    <mergeCell ref="J169:K169"/>
    <mergeCell ref="H169:I169"/>
    <mergeCell ref="J176:K176"/>
    <mergeCell ref="H176:I176"/>
    <mergeCell ref="J183:K183"/>
    <mergeCell ref="H183:I183"/>
    <mergeCell ref="A221:G221"/>
    <mergeCell ref="J225:K225"/>
    <mergeCell ref="H225:I225"/>
    <mergeCell ref="A225:G225"/>
    <mergeCell ref="J229:K229"/>
    <mergeCell ref="H229:I229"/>
    <mergeCell ref="A229:G229"/>
    <mergeCell ref="J211:K211"/>
    <mergeCell ref="H211:I211"/>
    <mergeCell ref="J218:K218"/>
    <mergeCell ref="H218:I218"/>
    <mergeCell ref="J221:K221"/>
    <mergeCell ref="H221:I221"/>
    <mergeCell ref="A242:B242"/>
    <mergeCell ref="C243:G243"/>
    <mergeCell ref="C235:I235"/>
    <mergeCell ref="J235:K235"/>
    <mergeCell ref="C236:I236"/>
    <mergeCell ref="J236:K236"/>
    <mergeCell ref="A239:B239"/>
    <mergeCell ref="C240:G240"/>
    <mergeCell ref="C232:I232"/>
    <mergeCell ref="J232:K232"/>
    <mergeCell ref="C233:I233"/>
    <mergeCell ref="J233:K233"/>
    <mergeCell ref="C234:I234"/>
    <mergeCell ref="J234:K234"/>
  </mergeCells>
  <pageMargins left="0.4" right="0.2" top="0.2" bottom="0.4" header="0.2" footer="0.2"/>
  <pageSetup paperSize="9" scale="64" fitToHeight="0" orientation="portrait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K264"/>
  <sheetViews>
    <sheetView workbookViewId="0">
      <selection activeCell="A260" sqref="A260:AA260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22054</v>
      </c>
      <c r="M1">
        <v>10</v>
      </c>
      <c r="N1">
        <v>11</v>
      </c>
      <c r="O1">
        <v>0</v>
      </c>
      <c r="P1">
        <v>0</v>
      </c>
      <c r="Q1">
        <v>6</v>
      </c>
    </row>
    <row r="12" spans="1:133" x14ac:dyDescent="0.2">
      <c r="A12" s="1">
        <v>1</v>
      </c>
      <c r="B12" s="1">
        <v>259</v>
      </c>
      <c r="C12" s="1">
        <v>0</v>
      </c>
      <c r="D12" s="1">
        <f>ROW(A221)</f>
        <v>221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157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">
      <c r="A18" s="2">
        <v>52</v>
      </c>
      <c r="B18" s="2">
        <f t="shared" ref="B18:G18" si="0">B221</f>
        <v>259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1</v>
      </c>
      <c r="G18" s="2" t="str">
        <f t="shared" si="0"/>
        <v>г. Москва, МКАД_(01.10.2020)</v>
      </c>
      <c r="H18" s="2"/>
      <c r="I18" s="2"/>
      <c r="J18" s="2"/>
      <c r="K18" s="2"/>
      <c r="L18" s="2"/>
      <c r="M18" s="2"/>
      <c r="N18" s="2"/>
      <c r="O18" s="2">
        <f t="shared" ref="O18:AT18" si="1">O221</f>
        <v>632187.03</v>
      </c>
      <c r="P18" s="2">
        <f t="shared" si="1"/>
        <v>557948.27</v>
      </c>
      <c r="Q18" s="2">
        <f t="shared" si="1"/>
        <v>17438.98</v>
      </c>
      <c r="R18" s="2">
        <f t="shared" si="1"/>
        <v>8968.86</v>
      </c>
      <c r="S18" s="2">
        <f t="shared" si="1"/>
        <v>56799.78</v>
      </c>
      <c r="T18" s="2">
        <f t="shared" si="1"/>
        <v>0</v>
      </c>
      <c r="U18" s="2">
        <f t="shared" si="1"/>
        <v>175.6428282</v>
      </c>
      <c r="V18" s="2">
        <f t="shared" si="1"/>
        <v>0</v>
      </c>
      <c r="W18" s="2">
        <f t="shared" si="1"/>
        <v>0</v>
      </c>
      <c r="X18" s="2">
        <f t="shared" si="1"/>
        <v>45801.89</v>
      </c>
      <c r="Y18" s="2">
        <f t="shared" si="1"/>
        <v>23927.96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355271.01</v>
      </c>
      <c r="AQ18" s="2">
        <f t="shared" si="1"/>
        <v>0</v>
      </c>
      <c r="AR18" s="2">
        <f t="shared" si="1"/>
        <v>715997.98</v>
      </c>
      <c r="AS18" s="2">
        <f t="shared" si="1"/>
        <v>195733.57</v>
      </c>
      <c r="AT18" s="2">
        <f t="shared" si="1"/>
        <v>113488.18</v>
      </c>
      <c r="AU18" s="2">
        <f t="shared" ref="AU18:BZ18" si="2">AU221</f>
        <v>51505.22</v>
      </c>
      <c r="AV18" s="2">
        <f t="shared" si="2"/>
        <v>557948.27</v>
      </c>
      <c r="AW18" s="2">
        <f t="shared" si="2"/>
        <v>202677.26</v>
      </c>
      <c r="AX18" s="2">
        <f t="shared" si="2"/>
        <v>0</v>
      </c>
      <c r="AY18" s="2">
        <f t="shared" si="2"/>
        <v>202677.26</v>
      </c>
      <c r="AZ18" s="2">
        <f t="shared" si="2"/>
        <v>355271.01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CA221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DG221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EM221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FS221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">
      <c r="A20" s="1">
        <v>3</v>
      </c>
      <c r="B20" s="1">
        <v>1</v>
      </c>
      <c r="C20" s="1"/>
      <c r="D20" s="1">
        <f>ROW(A189)</f>
        <v>189</v>
      </c>
      <c r="E20" s="1"/>
      <c r="F20" s="1" t="s">
        <v>4</v>
      </c>
      <c r="G20" s="1" t="s">
        <v>12</v>
      </c>
      <c r="H20" s="1" t="s">
        <v>3</v>
      </c>
      <c r="I20" s="1">
        <v>0</v>
      </c>
      <c r="J20" s="1" t="s">
        <v>3</v>
      </c>
      <c r="K20" s="1">
        <v>4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  <c r="CK20" t="s">
        <v>3</v>
      </c>
      <c r="CL20" t="s">
        <v>3</v>
      </c>
      <c r="CM20" t="s">
        <v>3</v>
      </c>
      <c r="CN20" t="s">
        <v>3</v>
      </c>
      <c r="CO20" t="s">
        <v>3</v>
      </c>
      <c r="CP20" t="s">
        <v>3</v>
      </c>
    </row>
    <row r="22" spans="1:245" x14ac:dyDescent="0.2">
      <c r="A22" s="2">
        <v>52</v>
      </c>
      <c r="B22" s="2">
        <f t="shared" ref="B22:G22" si="7">B189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1</v>
      </c>
      <c r="G22" s="2" t="str">
        <f t="shared" si="7"/>
        <v>Замена силового трансформатора ТМГ 1000\10\0,4 кВ</v>
      </c>
      <c r="H22" s="2"/>
      <c r="I22" s="2"/>
      <c r="J22" s="2"/>
      <c r="K22" s="2"/>
      <c r="L22" s="2"/>
      <c r="M22" s="2"/>
      <c r="N22" s="2"/>
      <c r="O22" s="2">
        <f t="shared" ref="O22:AT22" si="8">O189</f>
        <v>632187.03</v>
      </c>
      <c r="P22" s="2">
        <f t="shared" si="8"/>
        <v>557948.27</v>
      </c>
      <c r="Q22" s="2">
        <f t="shared" si="8"/>
        <v>17438.98</v>
      </c>
      <c r="R22" s="2">
        <f t="shared" si="8"/>
        <v>8968.86</v>
      </c>
      <c r="S22" s="2">
        <f t="shared" si="8"/>
        <v>56799.78</v>
      </c>
      <c r="T22" s="2">
        <f t="shared" si="8"/>
        <v>0</v>
      </c>
      <c r="U22" s="2">
        <f t="shared" si="8"/>
        <v>175.6428282</v>
      </c>
      <c r="V22" s="2">
        <f t="shared" si="8"/>
        <v>0</v>
      </c>
      <c r="W22" s="2">
        <f t="shared" si="8"/>
        <v>0</v>
      </c>
      <c r="X22" s="2">
        <f t="shared" si="8"/>
        <v>45801.89</v>
      </c>
      <c r="Y22" s="2">
        <f t="shared" si="8"/>
        <v>23927.96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355271.01</v>
      </c>
      <c r="AQ22" s="2">
        <f t="shared" si="8"/>
        <v>0</v>
      </c>
      <c r="AR22" s="2">
        <f t="shared" si="8"/>
        <v>715997.98</v>
      </c>
      <c r="AS22" s="2">
        <f t="shared" si="8"/>
        <v>195733.57</v>
      </c>
      <c r="AT22" s="2">
        <f t="shared" si="8"/>
        <v>113488.18</v>
      </c>
      <c r="AU22" s="2">
        <f t="shared" ref="AU22:BZ22" si="9">AU189</f>
        <v>51505.22</v>
      </c>
      <c r="AV22" s="2">
        <f t="shared" si="9"/>
        <v>557948.27</v>
      </c>
      <c r="AW22" s="2">
        <f t="shared" si="9"/>
        <v>202677.26</v>
      </c>
      <c r="AX22" s="2">
        <f t="shared" si="9"/>
        <v>0</v>
      </c>
      <c r="AY22" s="2">
        <f t="shared" si="9"/>
        <v>202677.26</v>
      </c>
      <c r="AZ22" s="2">
        <f t="shared" si="9"/>
        <v>355271.01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CA189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DG189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EM189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FS189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">
      <c r="A24" s="1">
        <v>4</v>
      </c>
      <c r="B24" s="1">
        <v>1</v>
      </c>
      <c r="C24" s="1"/>
      <c r="D24" s="1">
        <f>ROW(A36)</f>
        <v>36</v>
      </c>
      <c r="E24" s="1"/>
      <c r="F24" s="1" t="s">
        <v>4</v>
      </c>
      <c r="G24" s="1" t="s">
        <v>13</v>
      </c>
      <c r="H24" s="1" t="s">
        <v>3</v>
      </c>
      <c r="I24" s="1">
        <v>0</v>
      </c>
      <c r="J24" s="1"/>
      <c r="K24" s="1">
        <v>0</v>
      </c>
      <c r="L24" s="1"/>
      <c r="M24" s="1"/>
      <c r="N24" s="1"/>
      <c r="O24" s="1"/>
      <c r="P24" s="1"/>
      <c r="Q24" s="1"/>
      <c r="R24" s="1"/>
      <c r="S24" s="1"/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 x14ac:dyDescent="0.2">
      <c r="A26" s="2">
        <v>52</v>
      </c>
      <c r="B26" s="2">
        <f t="shared" ref="B26:G26" si="14">B36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1</v>
      </c>
      <c r="G26" s="2" t="str">
        <f t="shared" si="14"/>
        <v>Строительные работы</v>
      </c>
      <c r="H26" s="2"/>
      <c r="I26" s="2"/>
      <c r="J26" s="2"/>
      <c r="K26" s="2"/>
      <c r="L26" s="2"/>
      <c r="M26" s="2"/>
      <c r="N26" s="2"/>
      <c r="O26" s="2">
        <f t="shared" ref="O26:AT26" si="15">O36</f>
        <v>7057.89</v>
      </c>
      <c r="P26" s="2">
        <f t="shared" si="15"/>
        <v>3986.29</v>
      </c>
      <c r="Q26" s="2">
        <f t="shared" si="15"/>
        <v>2263.35</v>
      </c>
      <c r="R26" s="2">
        <f t="shared" si="15"/>
        <v>477.26</v>
      </c>
      <c r="S26" s="2">
        <f t="shared" si="15"/>
        <v>808.25</v>
      </c>
      <c r="T26" s="2">
        <f t="shared" si="15"/>
        <v>0</v>
      </c>
      <c r="U26" s="2">
        <f t="shared" si="15"/>
        <v>3.2038199999999999</v>
      </c>
      <c r="V26" s="2">
        <f t="shared" si="15"/>
        <v>0</v>
      </c>
      <c r="W26" s="2">
        <f t="shared" si="15"/>
        <v>0</v>
      </c>
      <c r="X26" s="2">
        <f t="shared" si="15"/>
        <v>687.02</v>
      </c>
      <c r="Y26" s="2">
        <f t="shared" si="15"/>
        <v>331.38</v>
      </c>
      <c r="Z26" s="2">
        <f t="shared" si="15"/>
        <v>0</v>
      </c>
      <c r="AA26" s="2">
        <f t="shared" si="15"/>
        <v>0</v>
      </c>
      <c r="AB26" s="2">
        <f t="shared" si="15"/>
        <v>7057.89</v>
      </c>
      <c r="AC26" s="2">
        <f t="shared" si="15"/>
        <v>3986.29</v>
      </c>
      <c r="AD26" s="2">
        <f t="shared" si="15"/>
        <v>2263.35</v>
      </c>
      <c r="AE26" s="2">
        <f t="shared" si="15"/>
        <v>477.26</v>
      </c>
      <c r="AF26" s="2">
        <f t="shared" si="15"/>
        <v>808.25</v>
      </c>
      <c r="AG26" s="2">
        <f t="shared" si="15"/>
        <v>0</v>
      </c>
      <c r="AH26" s="2">
        <f t="shared" si="15"/>
        <v>3.2038199999999999</v>
      </c>
      <c r="AI26" s="2">
        <f t="shared" si="15"/>
        <v>0</v>
      </c>
      <c r="AJ26" s="2">
        <f t="shared" si="15"/>
        <v>0</v>
      </c>
      <c r="AK26" s="2">
        <f t="shared" si="15"/>
        <v>687.02</v>
      </c>
      <c r="AL26" s="2">
        <f t="shared" si="15"/>
        <v>331.38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8825.59</v>
      </c>
      <c r="AS26" s="2">
        <f t="shared" si="15"/>
        <v>7456.71</v>
      </c>
      <c r="AT26" s="2">
        <f t="shared" si="15"/>
        <v>0</v>
      </c>
      <c r="AU26" s="2">
        <f t="shared" ref="AU26:BZ26" si="16">AU36</f>
        <v>1368.88</v>
      </c>
      <c r="AV26" s="2">
        <f t="shared" si="16"/>
        <v>3986.29</v>
      </c>
      <c r="AW26" s="2">
        <f t="shared" si="16"/>
        <v>3986.29</v>
      </c>
      <c r="AX26" s="2">
        <f t="shared" si="16"/>
        <v>0</v>
      </c>
      <c r="AY26" s="2">
        <f t="shared" si="16"/>
        <v>3986.29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0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CA36</f>
        <v>8825.59</v>
      </c>
      <c r="CB26" s="2">
        <f t="shared" si="17"/>
        <v>7456.71</v>
      </c>
      <c r="CC26" s="2">
        <f t="shared" si="17"/>
        <v>0</v>
      </c>
      <c r="CD26" s="2">
        <f t="shared" si="17"/>
        <v>1368.88</v>
      </c>
      <c r="CE26" s="2">
        <f t="shared" si="17"/>
        <v>3986.29</v>
      </c>
      <c r="CF26" s="2">
        <f t="shared" si="17"/>
        <v>3986.29</v>
      </c>
      <c r="CG26" s="2">
        <f t="shared" si="17"/>
        <v>0</v>
      </c>
      <c r="CH26" s="2">
        <f t="shared" si="17"/>
        <v>3986.29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0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DG36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EM36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FS36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 x14ac:dyDescent="0.2">
      <c r="A28">
        <v>19</v>
      </c>
      <c r="B28">
        <v>1</v>
      </c>
      <c r="F28" t="s">
        <v>3</v>
      </c>
      <c r="G28" t="s">
        <v>14</v>
      </c>
      <c r="H28" t="s">
        <v>3</v>
      </c>
      <c r="AA28">
        <v>1</v>
      </c>
      <c r="IK28">
        <v>0</v>
      </c>
    </row>
    <row r="29" spans="1:245" x14ac:dyDescent="0.2">
      <c r="A29">
        <v>17</v>
      </c>
      <c r="B29">
        <v>1</v>
      </c>
      <c r="C29">
        <f>ROW(SmtRes!A5)</f>
        <v>5</v>
      </c>
      <c r="D29">
        <f>ROW(EtalonRes!A6)</f>
        <v>6</v>
      </c>
      <c r="E29" t="s">
        <v>4</v>
      </c>
      <c r="F29" t="s">
        <v>15</v>
      </c>
      <c r="G29" t="s">
        <v>16</v>
      </c>
      <c r="H29" t="s">
        <v>17</v>
      </c>
      <c r="I29">
        <v>2</v>
      </c>
      <c r="J29">
        <v>0</v>
      </c>
      <c r="O29">
        <f t="shared" ref="O29:O34" si="21">ROUND(CP29,2)</f>
        <v>655.04999999999995</v>
      </c>
      <c r="P29">
        <f t="shared" ref="P29:P34" si="22">ROUND(CQ29*I29,2)</f>
        <v>0</v>
      </c>
      <c r="Q29">
        <f t="shared" ref="Q29:Q34" si="23">ROUND(CR29*I29,2)</f>
        <v>295.83</v>
      </c>
      <c r="R29">
        <f t="shared" ref="R29:R34" si="24">ROUND(CS29*I29,2)</f>
        <v>164.39</v>
      </c>
      <c r="S29">
        <f t="shared" ref="S29:S34" si="25">ROUND(CT29*I29,2)</f>
        <v>359.22</v>
      </c>
      <c r="T29">
        <f t="shared" ref="T29:T34" si="26">ROUND(CU29*I29,2)</f>
        <v>0</v>
      </c>
      <c r="U29">
        <f t="shared" ref="U29:U34" si="27">CV29*I29</f>
        <v>1.4239200000000001</v>
      </c>
      <c r="V29">
        <f t="shared" ref="V29:V34" si="28">CW29*I29</f>
        <v>0</v>
      </c>
      <c r="W29">
        <f t="shared" ref="W29:W34" si="29">ROUND(CX29*I29,2)</f>
        <v>0</v>
      </c>
      <c r="X29">
        <f t="shared" ref="X29:Y34" si="30">ROUND(CY29,2)</f>
        <v>305.33999999999997</v>
      </c>
      <c r="Y29">
        <f t="shared" si="30"/>
        <v>147.28</v>
      </c>
      <c r="AA29">
        <v>36226623</v>
      </c>
      <c r="AB29">
        <f t="shared" ref="AB29:AB34" si="31">ROUND((AC29+AD29+AF29),2)</f>
        <v>19.899999999999999</v>
      </c>
      <c r="AC29">
        <f>ROUND(((ES29*0)),2)</f>
        <v>0</v>
      </c>
      <c r="AD29">
        <f>ROUND(((ET29*0.8)),2)</f>
        <v>12.82</v>
      </c>
      <c r="AE29">
        <f>ROUND(((EU29*0.8)),2)</f>
        <v>3.24</v>
      </c>
      <c r="AF29">
        <f>ROUND(((EV29*0.8)),2)</f>
        <v>7.08</v>
      </c>
      <c r="AG29">
        <f t="shared" ref="AG29:AG34" si="32">ROUND((AP29),2)</f>
        <v>0</v>
      </c>
      <c r="AH29">
        <f>((EW29*0.8))</f>
        <v>0.68</v>
      </c>
      <c r="AI29">
        <f>((EX29*0.8))</f>
        <v>0</v>
      </c>
      <c r="AJ29">
        <f t="shared" ref="AJ29:AJ34" si="33">(AS29)</f>
        <v>0</v>
      </c>
      <c r="AK29">
        <v>25.93</v>
      </c>
      <c r="AL29">
        <v>1.06</v>
      </c>
      <c r="AM29">
        <v>16.02</v>
      </c>
      <c r="AN29">
        <v>4.05</v>
      </c>
      <c r="AO29">
        <v>8.85</v>
      </c>
      <c r="AP29">
        <v>0</v>
      </c>
      <c r="AQ29">
        <v>0.85</v>
      </c>
      <c r="AR29">
        <v>0</v>
      </c>
      <c r="AS29">
        <v>0</v>
      </c>
      <c r="AT29">
        <v>85</v>
      </c>
      <c r="AU29">
        <v>41</v>
      </c>
      <c r="AV29">
        <v>1.0469999999999999</v>
      </c>
      <c r="AW29">
        <v>1.0029999999999999</v>
      </c>
      <c r="AZ29">
        <v>1</v>
      </c>
      <c r="BA29">
        <v>24.23</v>
      </c>
      <c r="BB29">
        <v>11.02</v>
      </c>
      <c r="BC29">
        <v>4.99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18</v>
      </c>
      <c r="BM29">
        <v>64</v>
      </c>
      <c r="BN29">
        <v>0</v>
      </c>
      <c r="BO29" t="s">
        <v>15</v>
      </c>
      <c r="BP29">
        <v>1</v>
      </c>
      <c r="BQ29">
        <v>30</v>
      </c>
      <c r="BR29">
        <v>0</v>
      </c>
      <c r="BS29">
        <v>24.23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85</v>
      </c>
      <c r="CA29">
        <v>41</v>
      </c>
      <c r="CE29">
        <v>0</v>
      </c>
      <c r="CF29">
        <v>0</v>
      </c>
      <c r="CG29">
        <v>0</v>
      </c>
      <c r="CM29">
        <v>0</v>
      </c>
      <c r="CN29" t="s">
        <v>19</v>
      </c>
      <c r="CO29">
        <v>0</v>
      </c>
      <c r="CP29">
        <f t="shared" ref="CP29:CP34" si="34">(P29+Q29+S29)</f>
        <v>655.04999999999995</v>
      </c>
      <c r="CQ29">
        <f t="shared" ref="CQ29:CQ34" si="35">(AC29*BC29*AW29)</f>
        <v>0</v>
      </c>
      <c r="CR29">
        <f t="shared" ref="CR29:CR34" si="36">(AD29*BB29*AV29)</f>
        <v>147.91639079999999</v>
      </c>
      <c r="CS29">
        <f t="shared" ref="CS29:CS34" si="37">(AE29*BS29*AV29)</f>
        <v>82.194944399999997</v>
      </c>
      <c r="CT29">
        <f t="shared" ref="CT29:CT34" si="38">(AF29*BA29*AV29)</f>
        <v>179.61117480000001</v>
      </c>
      <c r="CU29">
        <f t="shared" ref="CU29:CU34" si="39">AG29</f>
        <v>0</v>
      </c>
      <c r="CV29">
        <f t="shared" ref="CV29:CV34" si="40">(AH29*AV29)</f>
        <v>0.71196000000000004</v>
      </c>
      <c r="CW29">
        <f t="shared" ref="CW29:CX34" si="41">AI29</f>
        <v>0</v>
      </c>
      <c r="CX29">
        <f t="shared" si="41"/>
        <v>0</v>
      </c>
      <c r="CY29">
        <f t="shared" ref="CY29:CY34" si="42">S29*(BZ29/100)</f>
        <v>305.33699999999999</v>
      </c>
      <c r="CZ29">
        <f t="shared" ref="CZ29:CZ34" si="43">S29*(CA29/100)</f>
        <v>147.28020000000001</v>
      </c>
      <c r="DC29" t="s">
        <v>3</v>
      </c>
      <c r="DD29" t="s">
        <v>20</v>
      </c>
      <c r="DE29" t="s">
        <v>21</v>
      </c>
      <c r="DF29" t="s">
        <v>21</v>
      </c>
      <c r="DG29" t="s">
        <v>21</v>
      </c>
      <c r="DH29" t="s">
        <v>3</v>
      </c>
      <c r="DI29" t="s">
        <v>21</v>
      </c>
      <c r="DJ29" t="s">
        <v>21</v>
      </c>
      <c r="DK29" t="s">
        <v>3</v>
      </c>
      <c r="DL29" t="s">
        <v>3</v>
      </c>
      <c r="DM29" t="s">
        <v>3</v>
      </c>
      <c r="DN29">
        <v>105</v>
      </c>
      <c r="DO29">
        <v>77</v>
      </c>
      <c r="DP29">
        <v>1.0469999999999999</v>
      </c>
      <c r="DQ29">
        <v>1.0029999999999999</v>
      </c>
      <c r="DU29">
        <v>1013</v>
      </c>
      <c r="DV29" t="s">
        <v>17</v>
      </c>
      <c r="DW29" t="s">
        <v>17</v>
      </c>
      <c r="DX29">
        <v>1</v>
      </c>
      <c r="EE29">
        <v>31685841</v>
      </c>
      <c r="EF29">
        <v>30</v>
      </c>
      <c r="EG29" t="s">
        <v>13</v>
      </c>
      <c r="EH29">
        <v>0</v>
      </c>
      <c r="EI29" t="s">
        <v>3</v>
      </c>
      <c r="EJ29">
        <v>1</v>
      </c>
      <c r="EK29">
        <v>64</v>
      </c>
      <c r="EL29" t="s">
        <v>22</v>
      </c>
      <c r="EM29" t="s">
        <v>23</v>
      </c>
      <c r="EO29" t="s">
        <v>24</v>
      </c>
      <c r="EQ29">
        <v>256</v>
      </c>
      <c r="ER29">
        <v>25.93</v>
      </c>
      <c r="ES29">
        <v>1.06</v>
      </c>
      <c r="ET29">
        <v>16.02</v>
      </c>
      <c r="EU29">
        <v>4.05</v>
      </c>
      <c r="EV29">
        <v>8.85</v>
      </c>
      <c r="EW29">
        <v>0.85</v>
      </c>
      <c r="EX29">
        <v>0</v>
      </c>
      <c r="EY29">
        <v>0</v>
      </c>
      <c r="FQ29">
        <v>0</v>
      </c>
      <c r="FR29">
        <f t="shared" ref="FR29:FR34" si="44">ROUND(IF(AND(BH29=3,BI29=3),P29,0),2)</f>
        <v>0</v>
      </c>
      <c r="FS29">
        <v>0</v>
      </c>
      <c r="FX29">
        <v>105</v>
      </c>
      <c r="FY29">
        <v>77</v>
      </c>
      <c r="GA29" t="s">
        <v>3</v>
      </c>
      <c r="GD29">
        <v>0</v>
      </c>
      <c r="GF29">
        <v>1171979586</v>
      </c>
      <c r="GG29">
        <v>2</v>
      </c>
      <c r="GH29">
        <v>1</v>
      </c>
      <c r="GI29">
        <v>2</v>
      </c>
      <c r="GJ29">
        <v>0</v>
      </c>
      <c r="GK29">
        <f>ROUND(R29*(R12)/100,2)</f>
        <v>258.08999999999997</v>
      </c>
      <c r="GL29">
        <f t="shared" ref="GL29:GL34" si="45">ROUND(IF(AND(BH29=3,BI29=3,FS29&lt;&gt;0),P29,0),2)</f>
        <v>0</v>
      </c>
      <c r="GM29">
        <f t="shared" ref="GM29:GM34" si="46">ROUND(O29+X29+Y29+GK29,2)+GX29</f>
        <v>1365.76</v>
      </c>
      <c r="GN29">
        <f t="shared" ref="GN29:GN34" si="47">IF(OR(BI29=0,BI29=1),ROUND(O29+X29+Y29+GK29,2),0)</f>
        <v>1365.76</v>
      </c>
      <c r="GO29">
        <f t="shared" ref="GO29:GO34" si="48">IF(BI29=2,ROUND(O29+X29+Y29+GK29,2),0)</f>
        <v>0</v>
      </c>
      <c r="GP29">
        <f t="shared" ref="GP29:GP34" si="49">IF(BI29=4,ROUND(O29+X29+Y29+GK29,2)+GX29,0)</f>
        <v>0</v>
      </c>
      <c r="GR29">
        <v>0</v>
      </c>
      <c r="GS29">
        <v>3</v>
      </c>
      <c r="GT29">
        <v>0</v>
      </c>
      <c r="GU29" t="s">
        <v>3</v>
      </c>
      <c r="GV29">
        <f t="shared" ref="GV29:GV34" si="50">ROUND((GT29),2)</f>
        <v>0</v>
      </c>
      <c r="GW29">
        <v>1</v>
      </c>
      <c r="GX29">
        <f t="shared" ref="GX29:GX34" si="51">ROUND(HC29*I29,2)</f>
        <v>0</v>
      </c>
      <c r="HA29">
        <v>0</v>
      </c>
      <c r="HB29">
        <v>0</v>
      </c>
      <c r="HC29">
        <f t="shared" ref="HC29:HC34" si="52">GV29*GW29</f>
        <v>0</v>
      </c>
      <c r="IK29">
        <v>0</v>
      </c>
    </row>
    <row r="30" spans="1:245" x14ac:dyDescent="0.2">
      <c r="A30">
        <v>17</v>
      </c>
      <c r="B30">
        <v>1</v>
      </c>
      <c r="C30">
        <f>ROW(SmtRes!A11)</f>
        <v>11</v>
      </c>
      <c r="D30">
        <f>ROW(EtalonRes!A12)</f>
        <v>12</v>
      </c>
      <c r="E30" t="s">
        <v>25</v>
      </c>
      <c r="F30" t="s">
        <v>15</v>
      </c>
      <c r="G30" t="s">
        <v>16</v>
      </c>
      <c r="H30" t="s">
        <v>17</v>
      </c>
      <c r="I30">
        <v>2</v>
      </c>
      <c r="J30">
        <v>0</v>
      </c>
      <c r="O30">
        <f t="shared" si="21"/>
        <v>829.32</v>
      </c>
      <c r="P30">
        <f t="shared" si="22"/>
        <v>10.61</v>
      </c>
      <c r="Q30">
        <f t="shared" si="23"/>
        <v>369.68</v>
      </c>
      <c r="R30">
        <f t="shared" si="24"/>
        <v>205.49</v>
      </c>
      <c r="S30">
        <f t="shared" si="25"/>
        <v>449.03</v>
      </c>
      <c r="T30">
        <f t="shared" si="26"/>
        <v>0</v>
      </c>
      <c r="U30">
        <f t="shared" si="27"/>
        <v>1.7798999999999998</v>
      </c>
      <c r="V30">
        <f t="shared" si="28"/>
        <v>0</v>
      </c>
      <c r="W30">
        <f t="shared" si="29"/>
        <v>0</v>
      </c>
      <c r="X30">
        <f t="shared" si="30"/>
        <v>381.68</v>
      </c>
      <c r="Y30">
        <f t="shared" si="30"/>
        <v>184.1</v>
      </c>
      <c r="AA30">
        <v>36226623</v>
      </c>
      <c r="AB30">
        <f t="shared" si="31"/>
        <v>25.93</v>
      </c>
      <c r="AC30">
        <f t="shared" ref="AC30:AF34" si="53">ROUND((ES30),2)</f>
        <v>1.06</v>
      </c>
      <c r="AD30">
        <f t="shared" si="53"/>
        <v>16.02</v>
      </c>
      <c r="AE30">
        <f t="shared" si="53"/>
        <v>4.05</v>
      </c>
      <c r="AF30">
        <f t="shared" si="53"/>
        <v>8.85</v>
      </c>
      <c r="AG30">
        <f t="shared" si="32"/>
        <v>0</v>
      </c>
      <c r="AH30">
        <f t="shared" ref="AH30:AI34" si="54">(EW30)</f>
        <v>0.85</v>
      </c>
      <c r="AI30">
        <f t="shared" si="54"/>
        <v>0</v>
      </c>
      <c r="AJ30">
        <f t="shared" si="33"/>
        <v>0</v>
      </c>
      <c r="AK30">
        <v>25.93</v>
      </c>
      <c r="AL30">
        <v>1.06</v>
      </c>
      <c r="AM30">
        <v>16.02</v>
      </c>
      <c r="AN30">
        <v>4.05</v>
      </c>
      <c r="AO30">
        <v>8.85</v>
      </c>
      <c r="AP30">
        <v>0</v>
      </c>
      <c r="AQ30">
        <v>0.85</v>
      </c>
      <c r="AR30">
        <v>0</v>
      </c>
      <c r="AS30">
        <v>0</v>
      </c>
      <c r="AT30">
        <v>85</v>
      </c>
      <c r="AU30">
        <v>41</v>
      </c>
      <c r="AV30">
        <v>1.0469999999999999</v>
      </c>
      <c r="AW30">
        <v>1.0029999999999999</v>
      </c>
      <c r="AZ30">
        <v>1</v>
      </c>
      <c r="BA30">
        <v>24.23</v>
      </c>
      <c r="BB30">
        <v>11.02</v>
      </c>
      <c r="BC30">
        <v>4.99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1</v>
      </c>
      <c r="BJ30" t="s">
        <v>18</v>
      </c>
      <c r="BM30">
        <v>64</v>
      </c>
      <c r="BN30">
        <v>0</v>
      </c>
      <c r="BO30" t="s">
        <v>15</v>
      </c>
      <c r="BP30">
        <v>1</v>
      </c>
      <c r="BQ30">
        <v>30</v>
      </c>
      <c r="BR30">
        <v>0</v>
      </c>
      <c r="BS30">
        <v>24.23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85</v>
      </c>
      <c r="CA30">
        <v>41</v>
      </c>
      <c r="CE30">
        <v>0</v>
      </c>
      <c r="CF30">
        <v>0</v>
      </c>
      <c r="CG30">
        <v>0</v>
      </c>
      <c r="CM30">
        <v>0</v>
      </c>
      <c r="CN30" t="s">
        <v>3</v>
      </c>
      <c r="CO30">
        <v>0</v>
      </c>
      <c r="CP30">
        <f t="shared" si="34"/>
        <v>829.31999999999994</v>
      </c>
      <c r="CQ30">
        <f t="shared" si="35"/>
        <v>5.3052681999999995</v>
      </c>
      <c r="CR30">
        <f t="shared" si="36"/>
        <v>184.83779879999997</v>
      </c>
      <c r="CS30">
        <f t="shared" si="37"/>
        <v>102.7436805</v>
      </c>
      <c r="CT30">
        <f t="shared" si="38"/>
        <v>224.51396849999998</v>
      </c>
      <c r="CU30">
        <f t="shared" si="39"/>
        <v>0</v>
      </c>
      <c r="CV30">
        <f t="shared" si="40"/>
        <v>0.88994999999999991</v>
      </c>
      <c r="CW30">
        <f t="shared" si="41"/>
        <v>0</v>
      </c>
      <c r="CX30">
        <f t="shared" si="41"/>
        <v>0</v>
      </c>
      <c r="CY30">
        <f t="shared" si="42"/>
        <v>381.67549999999994</v>
      </c>
      <c r="CZ30">
        <f t="shared" si="43"/>
        <v>184.10229999999999</v>
      </c>
      <c r="DC30" t="s">
        <v>3</v>
      </c>
      <c r="DD30" t="s">
        <v>3</v>
      </c>
      <c r="DE30" t="s">
        <v>3</v>
      </c>
      <c r="DF30" t="s">
        <v>3</v>
      </c>
      <c r="DG30" t="s">
        <v>3</v>
      </c>
      <c r="DH30" t="s">
        <v>3</v>
      </c>
      <c r="DI30" t="s">
        <v>3</v>
      </c>
      <c r="DJ30" t="s">
        <v>3</v>
      </c>
      <c r="DK30" t="s">
        <v>3</v>
      </c>
      <c r="DL30" t="s">
        <v>3</v>
      </c>
      <c r="DM30" t="s">
        <v>3</v>
      </c>
      <c r="DN30">
        <v>105</v>
      </c>
      <c r="DO30">
        <v>77</v>
      </c>
      <c r="DP30">
        <v>1.0469999999999999</v>
      </c>
      <c r="DQ30">
        <v>1.0029999999999999</v>
      </c>
      <c r="DU30">
        <v>1013</v>
      </c>
      <c r="DV30" t="s">
        <v>17</v>
      </c>
      <c r="DW30" t="s">
        <v>17</v>
      </c>
      <c r="DX30">
        <v>1</v>
      </c>
      <c r="EE30">
        <v>31685841</v>
      </c>
      <c r="EF30">
        <v>30</v>
      </c>
      <c r="EG30" t="s">
        <v>13</v>
      </c>
      <c r="EH30">
        <v>0</v>
      </c>
      <c r="EI30" t="s">
        <v>3</v>
      </c>
      <c r="EJ30">
        <v>1</v>
      </c>
      <c r="EK30">
        <v>64</v>
      </c>
      <c r="EL30" t="s">
        <v>22</v>
      </c>
      <c r="EM30" t="s">
        <v>23</v>
      </c>
      <c r="EO30" t="s">
        <v>3</v>
      </c>
      <c r="EQ30">
        <v>0</v>
      </c>
      <c r="ER30">
        <v>25.93</v>
      </c>
      <c r="ES30">
        <v>1.06</v>
      </c>
      <c r="ET30">
        <v>16.02</v>
      </c>
      <c r="EU30">
        <v>4.05</v>
      </c>
      <c r="EV30">
        <v>8.85</v>
      </c>
      <c r="EW30">
        <v>0.85</v>
      </c>
      <c r="EX30">
        <v>0</v>
      </c>
      <c r="EY30">
        <v>0</v>
      </c>
      <c r="FQ30">
        <v>0</v>
      </c>
      <c r="FR30">
        <f t="shared" si="44"/>
        <v>0</v>
      </c>
      <c r="FS30">
        <v>0</v>
      </c>
      <c r="FX30">
        <v>105</v>
      </c>
      <c r="FY30">
        <v>77</v>
      </c>
      <c r="GA30" t="s">
        <v>3</v>
      </c>
      <c r="GD30">
        <v>0</v>
      </c>
      <c r="GF30">
        <v>1171979586</v>
      </c>
      <c r="GG30">
        <v>2</v>
      </c>
      <c r="GH30">
        <v>1</v>
      </c>
      <c r="GI30">
        <v>2</v>
      </c>
      <c r="GJ30">
        <v>0</v>
      </c>
      <c r="GK30">
        <f>ROUND(R30*(R12)/100,2)</f>
        <v>322.62</v>
      </c>
      <c r="GL30">
        <f t="shared" si="45"/>
        <v>0</v>
      </c>
      <c r="GM30">
        <f t="shared" si="46"/>
        <v>1717.72</v>
      </c>
      <c r="GN30">
        <f t="shared" si="47"/>
        <v>1717.72</v>
      </c>
      <c r="GO30">
        <f t="shared" si="48"/>
        <v>0</v>
      </c>
      <c r="GP30">
        <f t="shared" si="49"/>
        <v>0</v>
      </c>
      <c r="GR30">
        <v>0</v>
      </c>
      <c r="GS30">
        <v>3</v>
      </c>
      <c r="GT30">
        <v>0</v>
      </c>
      <c r="GU30" t="s">
        <v>3</v>
      </c>
      <c r="GV30">
        <f t="shared" si="50"/>
        <v>0</v>
      </c>
      <c r="GW30">
        <v>1</v>
      </c>
      <c r="GX30">
        <f t="shared" si="51"/>
        <v>0</v>
      </c>
      <c r="HA30">
        <v>0</v>
      </c>
      <c r="HB30">
        <v>0</v>
      </c>
      <c r="HC30">
        <f t="shared" si="52"/>
        <v>0</v>
      </c>
      <c r="IK30">
        <v>0</v>
      </c>
    </row>
    <row r="31" spans="1:245" x14ac:dyDescent="0.2">
      <c r="A31">
        <v>18</v>
      </c>
      <c r="B31">
        <v>1</v>
      </c>
      <c r="C31">
        <v>11</v>
      </c>
      <c r="E31" t="s">
        <v>26</v>
      </c>
      <c r="F31" t="s">
        <v>27</v>
      </c>
      <c r="G31" t="s">
        <v>28</v>
      </c>
      <c r="H31" t="s">
        <v>29</v>
      </c>
      <c r="I31">
        <f>I30*J31</f>
        <v>2.2999999999999998</v>
      </c>
      <c r="J31">
        <v>1.1499999999999999</v>
      </c>
      <c r="O31">
        <f t="shared" si="21"/>
        <v>3975.68</v>
      </c>
      <c r="P31">
        <f t="shared" si="22"/>
        <v>3975.68</v>
      </c>
      <c r="Q31">
        <f t="shared" si="23"/>
        <v>0</v>
      </c>
      <c r="R31">
        <f t="shared" si="24"/>
        <v>0</v>
      </c>
      <c r="S31">
        <f t="shared" si="25"/>
        <v>0</v>
      </c>
      <c r="T31">
        <f t="shared" si="26"/>
        <v>0</v>
      </c>
      <c r="U31">
        <f t="shared" si="27"/>
        <v>0</v>
      </c>
      <c r="V31">
        <f t="shared" si="28"/>
        <v>0</v>
      </c>
      <c r="W31">
        <f t="shared" si="29"/>
        <v>0</v>
      </c>
      <c r="X31">
        <f t="shared" si="30"/>
        <v>0</v>
      </c>
      <c r="Y31">
        <f t="shared" si="30"/>
        <v>0</v>
      </c>
      <c r="AA31">
        <v>36226623</v>
      </c>
      <c r="AB31">
        <f t="shared" si="31"/>
        <v>157.1</v>
      </c>
      <c r="AC31">
        <f t="shared" si="53"/>
        <v>157.1</v>
      </c>
      <c r="AD31">
        <f t="shared" si="53"/>
        <v>0</v>
      </c>
      <c r="AE31">
        <f t="shared" si="53"/>
        <v>0</v>
      </c>
      <c r="AF31">
        <f t="shared" si="53"/>
        <v>0</v>
      </c>
      <c r="AG31">
        <f t="shared" si="32"/>
        <v>0</v>
      </c>
      <c r="AH31">
        <f t="shared" si="54"/>
        <v>0</v>
      </c>
      <c r="AI31">
        <f t="shared" si="54"/>
        <v>0</v>
      </c>
      <c r="AJ31">
        <f t="shared" si="33"/>
        <v>0</v>
      </c>
      <c r="AK31">
        <v>157.1</v>
      </c>
      <c r="AL31">
        <v>157.1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1.0029999999999999</v>
      </c>
      <c r="AZ31">
        <v>1</v>
      </c>
      <c r="BA31">
        <v>1</v>
      </c>
      <c r="BB31">
        <v>1</v>
      </c>
      <c r="BC31">
        <v>10.97</v>
      </c>
      <c r="BD31" t="s">
        <v>3</v>
      </c>
      <c r="BE31" t="s">
        <v>3</v>
      </c>
      <c r="BF31" t="s">
        <v>3</v>
      </c>
      <c r="BG31" t="s">
        <v>3</v>
      </c>
      <c r="BH31">
        <v>3</v>
      </c>
      <c r="BI31">
        <v>1</v>
      </c>
      <c r="BJ31" t="s">
        <v>30</v>
      </c>
      <c r="BM31">
        <v>64</v>
      </c>
      <c r="BN31">
        <v>0</v>
      </c>
      <c r="BO31" t="s">
        <v>27</v>
      </c>
      <c r="BP31">
        <v>1</v>
      </c>
      <c r="BQ31">
        <v>30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0</v>
      </c>
      <c r="CA31">
        <v>0</v>
      </c>
      <c r="CE31">
        <v>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4"/>
        <v>3975.68</v>
      </c>
      <c r="CQ31">
        <f t="shared" si="35"/>
        <v>1728.5571609999997</v>
      </c>
      <c r="CR31">
        <f t="shared" si="36"/>
        <v>0</v>
      </c>
      <c r="CS31">
        <f t="shared" si="37"/>
        <v>0</v>
      </c>
      <c r="CT31">
        <f t="shared" si="38"/>
        <v>0</v>
      </c>
      <c r="CU31">
        <f t="shared" si="39"/>
        <v>0</v>
      </c>
      <c r="CV31">
        <f t="shared" si="40"/>
        <v>0</v>
      </c>
      <c r="CW31">
        <f t="shared" si="41"/>
        <v>0</v>
      </c>
      <c r="CX31">
        <f t="shared" si="41"/>
        <v>0</v>
      </c>
      <c r="CY31">
        <f t="shared" si="42"/>
        <v>0</v>
      </c>
      <c r="CZ31">
        <f t="shared" si="43"/>
        <v>0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105</v>
      </c>
      <c r="DO31">
        <v>77</v>
      </c>
      <c r="DP31">
        <v>1.0469999999999999</v>
      </c>
      <c r="DQ31">
        <v>1.0029999999999999</v>
      </c>
      <c r="DU31">
        <v>1007</v>
      </c>
      <c r="DV31" t="s">
        <v>29</v>
      </c>
      <c r="DW31" t="s">
        <v>29</v>
      </c>
      <c r="DX31">
        <v>1</v>
      </c>
      <c r="EE31">
        <v>31685841</v>
      </c>
      <c r="EF31">
        <v>30</v>
      </c>
      <c r="EG31" t="s">
        <v>13</v>
      </c>
      <c r="EH31">
        <v>0</v>
      </c>
      <c r="EI31" t="s">
        <v>3</v>
      </c>
      <c r="EJ31">
        <v>1</v>
      </c>
      <c r="EK31">
        <v>64</v>
      </c>
      <c r="EL31" t="s">
        <v>22</v>
      </c>
      <c r="EM31" t="s">
        <v>23</v>
      </c>
      <c r="EO31" t="s">
        <v>3</v>
      </c>
      <c r="EQ31">
        <v>0</v>
      </c>
      <c r="ER31">
        <v>157.1</v>
      </c>
      <c r="ES31">
        <v>157.1</v>
      </c>
      <c r="ET31">
        <v>0</v>
      </c>
      <c r="EU31">
        <v>0</v>
      </c>
      <c r="EV31">
        <v>0</v>
      </c>
      <c r="EW31">
        <v>0</v>
      </c>
      <c r="EX31">
        <v>0</v>
      </c>
      <c r="FQ31">
        <v>0</v>
      </c>
      <c r="FR31">
        <f t="shared" si="44"/>
        <v>0</v>
      </c>
      <c r="FS31">
        <v>0</v>
      </c>
      <c r="FX31">
        <v>105</v>
      </c>
      <c r="FY31">
        <v>77</v>
      </c>
      <c r="GA31" t="s">
        <v>3</v>
      </c>
      <c r="GD31">
        <v>0</v>
      </c>
      <c r="GF31">
        <v>-711068409</v>
      </c>
      <c r="GG31">
        <v>2</v>
      </c>
      <c r="GH31">
        <v>1</v>
      </c>
      <c r="GI31">
        <v>2</v>
      </c>
      <c r="GJ31">
        <v>0</v>
      </c>
      <c r="GK31">
        <f>ROUND(R31*(R12)/100,2)</f>
        <v>0</v>
      </c>
      <c r="GL31">
        <f t="shared" si="45"/>
        <v>0</v>
      </c>
      <c r="GM31">
        <f t="shared" si="46"/>
        <v>3975.68</v>
      </c>
      <c r="GN31">
        <f t="shared" si="47"/>
        <v>3975.68</v>
      </c>
      <c r="GO31">
        <f t="shared" si="48"/>
        <v>0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</v>
      </c>
      <c r="GX31">
        <f t="shared" si="51"/>
        <v>0</v>
      </c>
      <c r="HA31">
        <v>0</v>
      </c>
      <c r="HB31">
        <v>0</v>
      </c>
      <c r="HC31">
        <f t="shared" si="52"/>
        <v>0</v>
      </c>
      <c r="IK31">
        <v>0</v>
      </c>
    </row>
    <row r="32" spans="1:245" x14ac:dyDescent="0.2">
      <c r="A32">
        <v>17</v>
      </c>
      <c r="B32">
        <v>1</v>
      </c>
      <c r="C32">
        <f>ROW(SmtRes!A12)</f>
        <v>12</v>
      </c>
      <c r="D32">
        <f>ROW(EtalonRes!A13)</f>
        <v>13</v>
      </c>
      <c r="E32" t="s">
        <v>31</v>
      </c>
      <c r="F32" t="s">
        <v>32</v>
      </c>
      <c r="G32" t="s">
        <v>33</v>
      </c>
      <c r="H32" t="s">
        <v>34</v>
      </c>
      <c r="I32">
        <f>ROUND(I29*1.43,9)</f>
        <v>2.86</v>
      </c>
      <c r="J32">
        <v>0</v>
      </c>
      <c r="O32">
        <f t="shared" si="21"/>
        <v>228.96</v>
      </c>
      <c r="P32">
        <f t="shared" si="22"/>
        <v>0</v>
      </c>
      <c r="Q32">
        <f t="shared" si="23"/>
        <v>228.96</v>
      </c>
      <c r="R32">
        <f t="shared" si="24"/>
        <v>107.38</v>
      </c>
      <c r="S32">
        <f t="shared" si="25"/>
        <v>0</v>
      </c>
      <c r="T32">
        <f t="shared" si="26"/>
        <v>0</v>
      </c>
      <c r="U32">
        <f t="shared" si="27"/>
        <v>0</v>
      </c>
      <c r="V32">
        <f t="shared" si="28"/>
        <v>0</v>
      </c>
      <c r="W32">
        <f t="shared" si="29"/>
        <v>0</v>
      </c>
      <c r="X32">
        <f t="shared" si="30"/>
        <v>0</v>
      </c>
      <c r="Y32">
        <f t="shared" si="30"/>
        <v>0</v>
      </c>
      <c r="AA32">
        <v>36226623</v>
      </c>
      <c r="AB32">
        <f t="shared" si="31"/>
        <v>8.86</v>
      </c>
      <c r="AC32">
        <f t="shared" si="53"/>
        <v>0</v>
      </c>
      <c r="AD32">
        <f t="shared" si="53"/>
        <v>8.86</v>
      </c>
      <c r="AE32">
        <f t="shared" si="53"/>
        <v>1.48</v>
      </c>
      <c r="AF32">
        <f t="shared" si="53"/>
        <v>0</v>
      </c>
      <c r="AG32">
        <f t="shared" si="32"/>
        <v>0</v>
      </c>
      <c r="AH32">
        <f t="shared" si="54"/>
        <v>0</v>
      </c>
      <c r="AI32">
        <f t="shared" si="54"/>
        <v>0</v>
      </c>
      <c r="AJ32">
        <f t="shared" si="33"/>
        <v>0</v>
      </c>
      <c r="AK32">
        <v>8.86</v>
      </c>
      <c r="AL32">
        <v>0</v>
      </c>
      <c r="AM32">
        <v>8.86</v>
      </c>
      <c r="AN32">
        <v>1.48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73</v>
      </c>
      <c r="AU32">
        <v>41</v>
      </c>
      <c r="AV32">
        <v>1.0469999999999999</v>
      </c>
      <c r="AW32">
        <v>1.002</v>
      </c>
      <c r="AZ32">
        <v>1</v>
      </c>
      <c r="BA32">
        <v>24.23</v>
      </c>
      <c r="BB32">
        <v>8.6300000000000008</v>
      </c>
      <c r="BC32">
        <v>1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1</v>
      </c>
      <c r="BJ32" t="s">
        <v>35</v>
      </c>
      <c r="BM32">
        <v>658</v>
      </c>
      <c r="BN32">
        <v>0</v>
      </c>
      <c r="BO32" t="s">
        <v>32</v>
      </c>
      <c r="BP32">
        <v>1</v>
      </c>
      <c r="BQ32">
        <v>60</v>
      </c>
      <c r="BR32">
        <v>0</v>
      </c>
      <c r="BS32">
        <v>24.23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73</v>
      </c>
      <c r="CA32">
        <v>41</v>
      </c>
      <c r="CE32">
        <v>0</v>
      </c>
      <c r="CF32">
        <v>0</v>
      </c>
      <c r="CG32">
        <v>0</v>
      </c>
      <c r="CM32">
        <v>0</v>
      </c>
      <c r="CN32" t="s">
        <v>3</v>
      </c>
      <c r="CO32">
        <v>0</v>
      </c>
      <c r="CP32">
        <f t="shared" si="34"/>
        <v>228.96</v>
      </c>
      <c r="CQ32">
        <f t="shared" si="35"/>
        <v>0</v>
      </c>
      <c r="CR32">
        <f t="shared" si="36"/>
        <v>80.055504599999992</v>
      </c>
      <c r="CS32">
        <f t="shared" si="37"/>
        <v>37.545838799999999</v>
      </c>
      <c r="CT32">
        <f t="shared" si="38"/>
        <v>0</v>
      </c>
      <c r="CU32">
        <f t="shared" si="39"/>
        <v>0</v>
      </c>
      <c r="CV32">
        <f t="shared" si="40"/>
        <v>0</v>
      </c>
      <c r="CW32">
        <f t="shared" si="41"/>
        <v>0</v>
      </c>
      <c r="CX32">
        <f t="shared" si="41"/>
        <v>0</v>
      </c>
      <c r="CY32">
        <f t="shared" si="42"/>
        <v>0</v>
      </c>
      <c r="CZ32">
        <f t="shared" si="43"/>
        <v>0</v>
      </c>
      <c r="DC32" t="s">
        <v>3</v>
      </c>
      <c r="DD32" t="s">
        <v>3</v>
      </c>
      <c r="DE32" t="s">
        <v>3</v>
      </c>
      <c r="DF32" t="s">
        <v>3</v>
      </c>
      <c r="DG32" t="s">
        <v>3</v>
      </c>
      <c r="DH32" t="s">
        <v>3</v>
      </c>
      <c r="DI32" t="s">
        <v>3</v>
      </c>
      <c r="DJ32" t="s">
        <v>3</v>
      </c>
      <c r="DK32" t="s">
        <v>3</v>
      </c>
      <c r="DL32" t="s">
        <v>3</v>
      </c>
      <c r="DM32" t="s">
        <v>3</v>
      </c>
      <c r="DN32">
        <v>91</v>
      </c>
      <c r="DO32">
        <v>70</v>
      </c>
      <c r="DP32">
        <v>1.0469999999999999</v>
      </c>
      <c r="DQ32">
        <v>1.002</v>
      </c>
      <c r="DU32">
        <v>1013</v>
      </c>
      <c r="DV32" t="s">
        <v>34</v>
      </c>
      <c r="DW32" t="s">
        <v>34</v>
      </c>
      <c r="DX32">
        <v>1</v>
      </c>
      <c r="EE32">
        <v>31686435</v>
      </c>
      <c r="EF32">
        <v>60</v>
      </c>
      <c r="EG32" t="s">
        <v>36</v>
      </c>
      <c r="EH32">
        <v>0</v>
      </c>
      <c r="EI32" t="s">
        <v>3</v>
      </c>
      <c r="EJ32">
        <v>1</v>
      </c>
      <c r="EK32">
        <v>658</v>
      </c>
      <c r="EL32" t="s">
        <v>37</v>
      </c>
      <c r="EM32" t="s">
        <v>38</v>
      </c>
      <c r="EO32" t="s">
        <v>3</v>
      </c>
      <c r="EQ32">
        <v>0</v>
      </c>
      <c r="ER32">
        <v>8.86</v>
      </c>
      <c r="ES32">
        <v>0</v>
      </c>
      <c r="ET32">
        <v>8.86</v>
      </c>
      <c r="EU32">
        <v>1.48</v>
      </c>
      <c r="EV32">
        <v>0</v>
      </c>
      <c r="EW32">
        <v>0</v>
      </c>
      <c r="EX32">
        <v>0</v>
      </c>
      <c r="EY32">
        <v>0</v>
      </c>
      <c r="FQ32">
        <v>0</v>
      </c>
      <c r="FR32">
        <f t="shared" si="44"/>
        <v>0</v>
      </c>
      <c r="FS32">
        <v>0</v>
      </c>
      <c r="FX32">
        <v>91</v>
      </c>
      <c r="FY32">
        <v>70</v>
      </c>
      <c r="GA32" t="s">
        <v>3</v>
      </c>
      <c r="GD32">
        <v>0</v>
      </c>
      <c r="GF32">
        <v>-1983005167</v>
      </c>
      <c r="GG32">
        <v>2</v>
      </c>
      <c r="GH32">
        <v>1</v>
      </c>
      <c r="GI32">
        <v>2</v>
      </c>
      <c r="GJ32">
        <v>0</v>
      </c>
      <c r="GK32">
        <f>ROUND(R32*(R12)/100,2)</f>
        <v>168.59</v>
      </c>
      <c r="GL32">
        <f t="shared" si="45"/>
        <v>0</v>
      </c>
      <c r="GM32">
        <f t="shared" si="46"/>
        <v>397.55</v>
      </c>
      <c r="GN32">
        <f t="shared" si="47"/>
        <v>397.55</v>
      </c>
      <c r="GO32">
        <f t="shared" si="48"/>
        <v>0</v>
      </c>
      <c r="GP32">
        <f t="shared" si="49"/>
        <v>0</v>
      </c>
      <c r="GR32">
        <v>0</v>
      </c>
      <c r="GS32">
        <v>3</v>
      </c>
      <c r="GT32">
        <v>0</v>
      </c>
      <c r="GU32" t="s">
        <v>3</v>
      </c>
      <c r="GV32">
        <f t="shared" si="50"/>
        <v>0</v>
      </c>
      <c r="GW32">
        <v>1</v>
      </c>
      <c r="GX32">
        <f t="shared" si="51"/>
        <v>0</v>
      </c>
      <c r="HA32">
        <v>0</v>
      </c>
      <c r="HB32">
        <v>0</v>
      </c>
      <c r="HC32">
        <f t="shared" si="52"/>
        <v>0</v>
      </c>
      <c r="IK32">
        <v>0</v>
      </c>
    </row>
    <row r="33" spans="1:245" x14ac:dyDescent="0.2">
      <c r="A33">
        <v>17</v>
      </c>
      <c r="B33">
        <v>1</v>
      </c>
      <c r="C33">
        <f>ROW(SmtRes!A13)</f>
        <v>13</v>
      </c>
      <c r="D33">
        <f>ROW(EtalonRes!A14)</f>
        <v>14</v>
      </c>
      <c r="E33" t="s">
        <v>39</v>
      </c>
      <c r="F33" t="s">
        <v>40</v>
      </c>
      <c r="G33" t="s">
        <v>41</v>
      </c>
      <c r="H33" t="s">
        <v>42</v>
      </c>
      <c r="I33">
        <f>ROUND(I32,9)</f>
        <v>2.86</v>
      </c>
      <c r="J33">
        <v>0</v>
      </c>
      <c r="O33">
        <f t="shared" si="21"/>
        <v>1093.71</v>
      </c>
      <c r="P33">
        <f t="shared" si="22"/>
        <v>0</v>
      </c>
      <c r="Q33">
        <f t="shared" si="23"/>
        <v>1093.71</v>
      </c>
      <c r="R33">
        <f t="shared" si="24"/>
        <v>0</v>
      </c>
      <c r="S33">
        <f t="shared" si="25"/>
        <v>0</v>
      </c>
      <c r="T33">
        <f t="shared" si="26"/>
        <v>0</v>
      </c>
      <c r="U33">
        <f t="shared" si="27"/>
        <v>0</v>
      </c>
      <c r="V33">
        <f t="shared" si="28"/>
        <v>0</v>
      </c>
      <c r="W33">
        <f t="shared" si="29"/>
        <v>0</v>
      </c>
      <c r="X33">
        <f t="shared" si="30"/>
        <v>0</v>
      </c>
      <c r="Y33">
        <f t="shared" si="30"/>
        <v>0</v>
      </c>
      <c r="AA33">
        <v>36226623</v>
      </c>
      <c r="AB33">
        <f t="shared" si="31"/>
        <v>36.49</v>
      </c>
      <c r="AC33">
        <f t="shared" si="53"/>
        <v>0</v>
      </c>
      <c r="AD33">
        <f t="shared" si="53"/>
        <v>36.49</v>
      </c>
      <c r="AE33">
        <f t="shared" si="53"/>
        <v>0</v>
      </c>
      <c r="AF33">
        <f t="shared" si="53"/>
        <v>0</v>
      </c>
      <c r="AG33">
        <f t="shared" si="32"/>
        <v>0</v>
      </c>
      <c r="AH33">
        <f t="shared" si="54"/>
        <v>0</v>
      </c>
      <c r="AI33">
        <f t="shared" si="54"/>
        <v>0</v>
      </c>
      <c r="AJ33">
        <f t="shared" si="33"/>
        <v>0</v>
      </c>
      <c r="AK33">
        <v>36.49</v>
      </c>
      <c r="AL33">
        <v>0</v>
      </c>
      <c r="AM33">
        <v>36.49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93</v>
      </c>
      <c r="AU33">
        <v>64</v>
      </c>
      <c r="AV33">
        <v>1</v>
      </c>
      <c r="AW33">
        <v>1</v>
      </c>
      <c r="AZ33">
        <v>1</v>
      </c>
      <c r="BA33">
        <v>1</v>
      </c>
      <c r="BB33">
        <v>10.48</v>
      </c>
      <c r="BC33">
        <v>1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4</v>
      </c>
      <c r="BJ33" t="s">
        <v>43</v>
      </c>
      <c r="BM33">
        <v>1111</v>
      </c>
      <c r="BN33">
        <v>0</v>
      </c>
      <c r="BO33" t="s">
        <v>40</v>
      </c>
      <c r="BP33">
        <v>1</v>
      </c>
      <c r="BQ33">
        <v>150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93</v>
      </c>
      <c r="CA33">
        <v>64</v>
      </c>
      <c r="CE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4"/>
        <v>1093.71</v>
      </c>
      <c r="CQ33">
        <f t="shared" si="35"/>
        <v>0</v>
      </c>
      <c r="CR33">
        <f t="shared" si="36"/>
        <v>382.41520000000003</v>
      </c>
      <c r="CS33">
        <f t="shared" si="37"/>
        <v>0</v>
      </c>
      <c r="CT33">
        <f t="shared" si="38"/>
        <v>0</v>
      </c>
      <c r="CU33">
        <f t="shared" si="39"/>
        <v>0</v>
      </c>
      <c r="CV33">
        <f t="shared" si="40"/>
        <v>0</v>
      </c>
      <c r="CW33">
        <f t="shared" si="41"/>
        <v>0</v>
      </c>
      <c r="CX33">
        <f t="shared" si="41"/>
        <v>0</v>
      </c>
      <c r="CY33">
        <f t="shared" si="42"/>
        <v>0</v>
      </c>
      <c r="CZ33">
        <f t="shared" si="43"/>
        <v>0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1009</v>
      </c>
      <c r="DV33" t="s">
        <v>42</v>
      </c>
      <c r="DW33" t="s">
        <v>42</v>
      </c>
      <c r="DX33">
        <v>1000</v>
      </c>
      <c r="EE33">
        <v>31686888</v>
      </c>
      <c r="EF33">
        <v>150</v>
      </c>
      <c r="EG33" t="s">
        <v>44</v>
      </c>
      <c r="EH33">
        <v>0</v>
      </c>
      <c r="EI33" t="s">
        <v>3</v>
      </c>
      <c r="EJ33">
        <v>4</v>
      </c>
      <c r="EK33">
        <v>1111</v>
      </c>
      <c r="EL33" t="s">
        <v>45</v>
      </c>
      <c r="EM33" t="s">
        <v>46</v>
      </c>
      <c r="EO33" t="s">
        <v>3</v>
      </c>
      <c r="EQ33">
        <v>0</v>
      </c>
      <c r="ER33">
        <v>36.49</v>
      </c>
      <c r="ES33">
        <v>0</v>
      </c>
      <c r="ET33">
        <v>36.49</v>
      </c>
      <c r="EU33">
        <v>0</v>
      </c>
      <c r="EV33">
        <v>0</v>
      </c>
      <c r="EW33">
        <v>0</v>
      </c>
      <c r="EX33">
        <v>0</v>
      </c>
      <c r="EY33">
        <v>0</v>
      </c>
      <c r="FQ33">
        <v>0</v>
      </c>
      <c r="FR33">
        <f t="shared" si="44"/>
        <v>0</v>
      </c>
      <c r="FS33">
        <v>0</v>
      </c>
      <c r="FX33">
        <v>0</v>
      </c>
      <c r="FY33">
        <v>0</v>
      </c>
      <c r="GA33" t="s">
        <v>3</v>
      </c>
      <c r="GD33">
        <v>0</v>
      </c>
      <c r="GF33">
        <v>-1156188620</v>
      </c>
      <c r="GG33">
        <v>2</v>
      </c>
      <c r="GH33">
        <v>1</v>
      </c>
      <c r="GI33">
        <v>2</v>
      </c>
      <c r="GJ33">
        <v>0</v>
      </c>
      <c r="GK33">
        <f>ROUND(R33*(R12)/100,2)</f>
        <v>0</v>
      </c>
      <c r="GL33">
        <f t="shared" si="45"/>
        <v>0</v>
      </c>
      <c r="GM33">
        <f t="shared" si="46"/>
        <v>1093.71</v>
      </c>
      <c r="GN33">
        <f t="shared" si="47"/>
        <v>0</v>
      </c>
      <c r="GO33">
        <f t="shared" si="48"/>
        <v>0</v>
      </c>
      <c r="GP33">
        <f t="shared" si="49"/>
        <v>1093.71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</v>
      </c>
      <c r="GX33">
        <f t="shared" si="51"/>
        <v>0</v>
      </c>
      <c r="HA33">
        <v>0</v>
      </c>
      <c r="HB33">
        <v>0</v>
      </c>
      <c r="HC33">
        <f t="shared" si="52"/>
        <v>0</v>
      </c>
      <c r="IK33">
        <v>0</v>
      </c>
    </row>
    <row r="34" spans="1:245" x14ac:dyDescent="0.2">
      <c r="A34">
        <v>17</v>
      </c>
      <c r="B34">
        <v>1</v>
      </c>
      <c r="C34">
        <f>ROW(SmtRes!A14)</f>
        <v>14</v>
      </c>
      <c r="D34">
        <f>ROW(EtalonRes!A15)</f>
        <v>15</v>
      </c>
      <c r="E34" t="s">
        <v>47</v>
      </c>
      <c r="F34" t="s">
        <v>48</v>
      </c>
      <c r="G34" t="s">
        <v>49</v>
      </c>
      <c r="H34" t="s">
        <v>34</v>
      </c>
      <c r="I34">
        <f>ROUND(I33,9)</f>
        <v>2.86</v>
      </c>
      <c r="J34">
        <v>0</v>
      </c>
      <c r="O34">
        <f t="shared" si="21"/>
        <v>275.17</v>
      </c>
      <c r="P34">
        <f t="shared" si="22"/>
        <v>0</v>
      </c>
      <c r="Q34">
        <f t="shared" si="23"/>
        <v>275.17</v>
      </c>
      <c r="R34">
        <f t="shared" si="24"/>
        <v>0</v>
      </c>
      <c r="S34">
        <f t="shared" si="25"/>
        <v>0</v>
      </c>
      <c r="T34">
        <f t="shared" si="26"/>
        <v>0</v>
      </c>
      <c r="U34">
        <f t="shared" si="27"/>
        <v>0</v>
      </c>
      <c r="V34">
        <f t="shared" si="28"/>
        <v>0</v>
      </c>
      <c r="W34">
        <f t="shared" si="29"/>
        <v>0</v>
      </c>
      <c r="X34">
        <f t="shared" si="30"/>
        <v>0</v>
      </c>
      <c r="Y34">
        <f t="shared" si="30"/>
        <v>0</v>
      </c>
      <c r="AA34">
        <v>36226623</v>
      </c>
      <c r="AB34">
        <f t="shared" si="31"/>
        <v>12.61</v>
      </c>
      <c r="AC34">
        <f t="shared" si="53"/>
        <v>0</v>
      </c>
      <c r="AD34">
        <f t="shared" si="53"/>
        <v>12.61</v>
      </c>
      <c r="AE34">
        <f t="shared" si="53"/>
        <v>0</v>
      </c>
      <c r="AF34">
        <f t="shared" si="53"/>
        <v>0</v>
      </c>
      <c r="AG34">
        <f t="shared" si="32"/>
        <v>0</v>
      </c>
      <c r="AH34">
        <f t="shared" si="54"/>
        <v>0</v>
      </c>
      <c r="AI34">
        <f t="shared" si="54"/>
        <v>0</v>
      </c>
      <c r="AJ34">
        <f t="shared" si="33"/>
        <v>0</v>
      </c>
      <c r="AK34">
        <v>12.61</v>
      </c>
      <c r="AL34">
        <v>0</v>
      </c>
      <c r="AM34">
        <v>12.61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93</v>
      </c>
      <c r="AU34">
        <v>64</v>
      </c>
      <c r="AV34">
        <v>1</v>
      </c>
      <c r="AW34">
        <v>1</v>
      </c>
      <c r="AZ34">
        <v>1</v>
      </c>
      <c r="BA34">
        <v>1</v>
      </c>
      <c r="BB34">
        <v>7.63</v>
      </c>
      <c r="BC34">
        <v>1</v>
      </c>
      <c r="BD34" t="s">
        <v>3</v>
      </c>
      <c r="BE34" t="s">
        <v>3</v>
      </c>
      <c r="BF34" t="s">
        <v>3</v>
      </c>
      <c r="BG34" t="s">
        <v>3</v>
      </c>
      <c r="BH34">
        <v>0</v>
      </c>
      <c r="BI34">
        <v>4</v>
      </c>
      <c r="BJ34" t="s">
        <v>50</v>
      </c>
      <c r="BM34">
        <v>1113</v>
      </c>
      <c r="BN34">
        <v>0</v>
      </c>
      <c r="BO34" t="s">
        <v>48</v>
      </c>
      <c r="BP34">
        <v>1</v>
      </c>
      <c r="BQ34">
        <v>150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93</v>
      </c>
      <c r="CA34">
        <v>64</v>
      </c>
      <c r="CE34">
        <v>0</v>
      </c>
      <c r="CF34">
        <v>0</v>
      </c>
      <c r="CG34">
        <v>0</v>
      </c>
      <c r="CM34">
        <v>0</v>
      </c>
      <c r="CN34" t="s">
        <v>3</v>
      </c>
      <c r="CO34">
        <v>0</v>
      </c>
      <c r="CP34">
        <f t="shared" si="34"/>
        <v>275.17</v>
      </c>
      <c r="CQ34">
        <f t="shared" si="35"/>
        <v>0</v>
      </c>
      <c r="CR34">
        <f t="shared" si="36"/>
        <v>96.214299999999994</v>
      </c>
      <c r="CS34">
        <f t="shared" si="37"/>
        <v>0</v>
      </c>
      <c r="CT34">
        <f t="shared" si="38"/>
        <v>0</v>
      </c>
      <c r="CU34">
        <f t="shared" si="39"/>
        <v>0</v>
      </c>
      <c r="CV34">
        <f t="shared" si="40"/>
        <v>0</v>
      </c>
      <c r="CW34">
        <f t="shared" si="41"/>
        <v>0</v>
      </c>
      <c r="CX34">
        <f t="shared" si="41"/>
        <v>0</v>
      </c>
      <c r="CY34">
        <f t="shared" si="42"/>
        <v>0</v>
      </c>
      <c r="CZ34">
        <f t="shared" si="43"/>
        <v>0</v>
      </c>
      <c r="DC34" t="s">
        <v>3</v>
      </c>
      <c r="DD34" t="s">
        <v>3</v>
      </c>
      <c r="DE34" t="s">
        <v>3</v>
      </c>
      <c r="DF34" t="s">
        <v>3</v>
      </c>
      <c r="DG34" t="s">
        <v>3</v>
      </c>
      <c r="DH34" t="s">
        <v>3</v>
      </c>
      <c r="DI34" t="s">
        <v>3</v>
      </c>
      <c r="DJ34" t="s">
        <v>3</v>
      </c>
      <c r="DK34" t="s">
        <v>3</v>
      </c>
      <c r="DL34" t="s">
        <v>3</v>
      </c>
      <c r="DM34" t="s">
        <v>3</v>
      </c>
      <c r="DN34">
        <v>0</v>
      </c>
      <c r="DO34">
        <v>0</v>
      </c>
      <c r="DP34">
        <v>1</v>
      </c>
      <c r="DQ34">
        <v>1</v>
      </c>
      <c r="DU34">
        <v>1013</v>
      </c>
      <c r="DV34" t="s">
        <v>34</v>
      </c>
      <c r="DW34" t="s">
        <v>34</v>
      </c>
      <c r="DX34">
        <v>1</v>
      </c>
      <c r="EE34">
        <v>31686890</v>
      </c>
      <c r="EF34">
        <v>150</v>
      </c>
      <c r="EG34" t="s">
        <v>44</v>
      </c>
      <c r="EH34">
        <v>0</v>
      </c>
      <c r="EI34" t="s">
        <v>3</v>
      </c>
      <c r="EJ34">
        <v>4</v>
      </c>
      <c r="EK34">
        <v>1113</v>
      </c>
      <c r="EL34" t="s">
        <v>51</v>
      </c>
      <c r="EM34" t="s">
        <v>52</v>
      </c>
      <c r="EO34" t="s">
        <v>3</v>
      </c>
      <c r="EQ34">
        <v>0</v>
      </c>
      <c r="ER34">
        <v>12.61</v>
      </c>
      <c r="ES34">
        <v>0</v>
      </c>
      <c r="ET34">
        <v>12.61</v>
      </c>
      <c r="EU34">
        <v>0</v>
      </c>
      <c r="EV34">
        <v>0</v>
      </c>
      <c r="EW34">
        <v>0</v>
      </c>
      <c r="EX34">
        <v>0</v>
      </c>
      <c r="EY34">
        <v>0</v>
      </c>
      <c r="FQ34">
        <v>0</v>
      </c>
      <c r="FR34">
        <f t="shared" si="44"/>
        <v>0</v>
      </c>
      <c r="FS34">
        <v>0</v>
      </c>
      <c r="FX34">
        <v>0</v>
      </c>
      <c r="FY34">
        <v>0</v>
      </c>
      <c r="GA34" t="s">
        <v>3</v>
      </c>
      <c r="GD34">
        <v>0</v>
      </c>
      <c r="GF34">
        <v>-1630031867</v>
      </c>
      <c r="GG34">
        <v>2</v>
      </c>
      <c r="GH34">
        <v>1</v>
      </c>
      <c r="GI34">
        <v>2</v>
      </c>
      <c r="GJ34">
        <v>0</v>
      </c>
      <c r="GK34">
        <f>ROUND(R34*(R12)/100,2)</f>
        <v>0</v>
      </c>
      <c r="GL34">
        <f t="shared" si="45"/>
        <v>0</v>
      </c>
      <c r="GM34">
        <f t="shared" si="46"/>
        <v>275.17</v>
      </c>
      <c r="GN34">
        <f t="shared" si="47"/>
        <v>0</v>
      </c>
      <c r="GO34">
        <f t="shared" si="48"/>
        <v>0</v>
      </c>
      <c r="GP34">
        <f t="shared" si="49"/>
        <v>275.17</v>
      </c>
      <c r="GR34">
        <v>0</v>
      </c>
      <c r="GS34">
        <v>3</v>
      </c>
      <c r="GT34">
        <v>0</v>
      </c>
      <c r="GU34" t="s">
        <v>3</v>
      </c>
      <c r="GV34">
        <f t="shared" si="50"/>
        <v>0</v>
      </c>
      <c r="GW34">
        <v>1</v>
      </c>
      <c r="GX34">
        <f t="shared" si="51"/>
        <v>0</v>
      </c>
      <c r="HA34">
        <v>0</v>
      </c>
      <c r="HB34">
        <v>0</v>
      </c>
      <c r="HC34">
        <f t="shared" si="52"/>
        <v>0</v>
      </c>
      <c r="IK34">
        <v>0</v>
      </c>
    </row>
    <row r="36" spans="1:245" x14ac:dyDescent="0.2">
      <c r="A36" s="2">
        <v>51</v>
      </c>
      <c r="B36" s="2">
        <f>B24</f>
        <v>1</v>
      </c>
      <c r="C36" s="2">
        <f>A24</f>
        <v>4</v>
      </c>
      <c r="D36" s="2">
        <f>ROW(A24)</f>
        <v>24</v>
      </c>
      <c r="E36" s="2"/>
      <c r="F36" s="2" t="str">
        <f>IF(F24&lt;&gt;"",F24,"")</f>
        <v>1</v>
      </c>
      <c r="G36" s="2" t="str">
        <f>IF(G24&lt;&gt;"",G24,"")</f>
        <v>Строительные работы</v>
      </c>
      <c r="H36" s="2">
        <v>0</v>
      </c>
      <c r="I36" s="2"/>
      <c r="J36" s="2"/>
      <c r="K36" s="2"/>
      <c r="L36" s="2"/>
      <c r="M36" s="2"/>
      <c r="N36" s="2"/>
      <c r="O36" s="2">
        <f t="shared" ref="O36:T36" si="55">ROUND(AB36,2)</f>
        <v>7057.89</v>
      </c>
      <c r="P36" s="2">
        <f t="shared" si="55"/>
        <v>3986.29</v>
      </c>
      <c r="Q36" s="2">
        <f t="shared" si="55"/>
        <v>2263.35</v>
      </c>
      <c r="R36" s="2">
        <f t="shared" si="55"/>
        <v>477.26</v>
      </c>
      <c r="S36" s="2">
        <f t="shared" si="55"/>
        <v>808.25</v>
      </c>
      <c r="T36" s="2">
        <f t="shared" si="55"/>
        <v>0</v>
      </c>
      <c r="U36" s="2">
        <f>AH36</f>
        <v>3.2038199999999999</v>
      </c>
      <c r="V36" s="2">
        <f>AI36</f>
        <v>0</v>
      </c>
      <c r="W36" s="2">
        <f>ROUND(AJ36,2)</f>
        <v>0</v>
      </c>
      <c r="X36" s="2">
        <f>ROUND(AK36,2)</f>
        <v>687.02</v>
      </c>
      <c r="Y36" s="2">
        <f>ROUND(AL36,2)</f>
        <v>331.38</v>
      </c>
      <c r="Z36" s="2"/>
      <c r="AA36" s="2"/>
      <c r="AB36" s="2">
        <f>ROUND(SUMIF(AA28:AA34,"=36226623",O28:O34),2)</f>
        <v>7057.89</v>
      </c>
      <c r="AC36" s="2">
        <f>ROUND(SUMIF(AA28:AA34,"=36226623",P28:P34),2)</f>
        <v>3986.29</v>
      </c>
      <c r="AD36" s="2">
        <f>ROUND(SUMIF(AA28:AA34,"=36226623",Q28:Q34),2)</f>
        <v>2263.35</v>
      </c>
      <c r="AE36" s="2">
        <f>ROUND(SUMIF(AA28:AA34,"=36226623",R28:R34),2)</f>
        <v>477.26</v>
      </c>
      <c r="AF36" s="2">
        <f>ROUND(SUMIF(AA28:AA34,"=36226623",S28:S34),2)</f>
        <v>808.25</v>
      </c>
      <c r="AG36" s="2">
        <f>ROUND(SUMIF(AA28:AA34,"=36226623",T28:T34),2)</f>
        <v>0</v>
      </c>
      <c r="AH36" s="2">
        <f>SUMIF(AA28:AA34,"=36226623",U28:U34)</f>
        <v>3.2038199999999999</v>
      </c>
      <c r="AI36" s="2">
        <f>SUMIF(AA28:AA34,"=36226623",V28:V34)</f>
        <v>0</v>
      </c>
      <c r="AJ36" s="2">
        <f>ROUND(SUMIF(AA28:AA34,"=36226623",W28:W34),2)</f>
        <v>0</v>
      </c>
      <c r="AK36" s="2">
        <f>ROUND(SUMIF(AA28:AA34,"=36226623",X28:X34),2)</f>
        <v>687.02</v>
      </c>
      <c r="AL36" s="2">
        <f>ROUND(SUMIF(AA28:AA34,"=36226623",Y28:Y34),2)</f>
        <v>331.38</v>
      </c>
      <c r="AM36" s="2"/>
      <c r="AN36" s="2"/>
      <c r="AO36" s="2">
        <f t="shared" ref="AO36:BD36" si="56">ROUND(BX36,2)</f>
        <v>0</v>
      </c>
      <c r="AP36" s="2">
        <f t="shared" si="56"/>
        <v>0</v>
      </c>
      <c r="AQ36" s="2">
        <f t="shared" si="56"/>
        <v>0</v>
      </c>
      <c r="AR36" s="2">
        <f t="shared" si="56"/>
        <v>8825.59</v>
      </c>
      <c r="AS36" s="2">
        <f t="shared" si="56"/>
        <v>7456.71</v>
      </c>
      <c r="AT36" s="2">
        <f t="shared" si="56"/>
        <v>0</v>
      </c>
      <c r="AU36" s="2">
        <f t="shared" si="56"/>
        <v>1368.88</v>
      </c>
      <c r="AV36" s="2">
        <f t="shared" si="56"/>
        <v>3986.29</v>
      </c>
      <c r="AW36" s="2">
        <f t="shared" si="56"/>
        <v>3986.29</v>
      </c>
      <c r="AX36" s="2">
        <f t="shared" si="56"/>
        <v>0</v>
      </c>
      <c r="AY36" s="2">
        <f t="shared" si="56"/>
        <v>3986.29</v>
      </c>
      <c r="AZ36" s="2">
        <f t="shared" si="56"/>
        <v>0</v>
      </c>
      <c r="BA36" s="2">
        <f t="shared" si="56"/>
        <v>0</v>
      </c>
      <c r="BB36" s="2">
        <f t="shared" si="56"/>
        <v>0</v>
      </c>
      <c r="BC36" s="2">
        <f t="shared" si="56"/>
        <v>0</v>
      </c>
      <c r="BD36" s="2">
        <f t="shared" si="56"/>
        <v>0</v>
      </c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>
        <f>ROUND(SUMIF(AA28:AA34,"=36226623",FQ28:FQ34),2)</f>
        <v>0</v>
      </c>
      <c r="BY36" s="2">
        <f>ROUND(SUMIF(AA28:AA34,"=36226623",FR28:FR34),2)</f>
        <v>0</v>
      </c>
      <c r="BZ36" s="2">
        <f>ROUND(SUMIF(AA28:AA34,"=36226623",GL28:GL34),2)</f>
        <v>0</v>
      </c>
      <c r="CA36" s="2">
        <f>ROUND(SUMIF(AA28:AA34,"=36226623",GM28:GM34),2)</f>
        <v>8825.59</v>
      </c>
      <c r="CB36" s="2">
        <f>ROUND(SUMIF(AA28:AA34,"=36226623",GN28:GN34),2)</f>
        <v>7456.71</v>
      </c>
      <c r="CC36" s="2">
        <f>ROUND(SUMIF(AA28:AA34,"=36226623",GO28:GO34),2)</f>
        <v>0</v>
      </c>
      <c r="CD36" s="2">
        <f>ROUND(SUMIF(AA28:AA34,"=36226623",GP28:GP34),2)</f>
        <v>1368.88</v>
      </c>
      <c r="CE36" s="2">
        <f>AC36-BX36</f>
        <v>3986.29</v>
      </c>
      <c r="CF36" s="2">
        <f>AC36-BY36</f>
        <v>3986.29</v>
      </c>
      <c r="CG36" s="2">
        <f>BX36-BZ36</f>
        <v>0</v>
      </c>
      <c r="CH36" s="2">
        <f>AC36-BX36-BY36+BZ36</f>
        <v>3986.29</v>
      </c>
      <c r="CI36" s="2">
        <f>BY36-BZ36</f>
        <v>0</v>
      </c>
      <c r="CJ36" s="2">
        <f>ROUND(SUMIF(AA28:AA34,"=36226623",GX28:GX34),2)</f>
        <v>0</v>
      </c>
      <c r="CK36" s="2">
        <f>ROUND(SUMIF(AA28:AA34,"=36226623",GY28:GY34),2)</f>
        <v>0</v>
      </c>
      <c r="CL36" s="2">
        <f>ROUND(SUMIF(AA28:AA34,"=36226623",GZ28:GZ34),2)</f>
        <v>0</v>
      </c>
      <c r="CM36" s="2">
        <f>ROUND(SUMIF(AA28:AA34,"=36226623",HD28:HD34),2)</f>
        <v>0</v>
      </c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>
        <v>0</v>
      </c>
    </row>
    <row r="38" spans="1:245" x14ac:dyDescent="0.2">
      <c r="A38" s="4">
        <v>50</v>
      </c>
      <c r="B38" s="4">
        <v>0</v>
      </c>
      <c r="C38" s="4">
        <v>0</v>
      </c>
      <c r="D38" s="4">
        <v>1</v>
      </c>
      <c r="E38" s="4">
        <v>201</v>
      </c>
      <c r="F38" s="4">
        <f>ROUND(Source!O36,O38)</f>
        <v>7057.89</v>
      </c>
      <c r="G38" s="4" t="s">
        <v>53</v>
      </c>
      <c r="H38" s="4" t="s">
        <v>54</v>
      </c>
      <c r="I38" s="4"/>
      <c r="J38" s="4"/>
      <c r="K38" s="4">
        <v>201</v>
      </c>
      <c r="L38" s="4">
        <v>1</v>
      </c>
      <c r="M38" s="4">
        <v>3</v>
      </c>
      <c r="N38" s="4" t="s">
        <v>3</v>
      </c>
      <c r="O38" s="4">
        <v>2</v>
      </c>
      <c r="P38" s="4"/>
      <c r="Q38" s="4"/>
      <c r="R38" s="4"/>
      <c r="S38" s="4"/>
      <c r="T38" s="4"/>
      <c r="U38" s="4"/>
      <c r="V38" s="4"/>
      <c r="W38" s="4"/>
    </row>
    <row r="39" spans="1:245" x14ac:dyDescent="0.2">
      <c r="A39" s="4">
        <v>50</v>
      </c>
      <c r="B39" s="4">
        <v>0</v>
      </c>
      <c r="C39" s="4">
        <v>0</v>
      </c>
      <c r="D39" s="4">
        <v>1</v>
      </c>
      <c r="E39" s="4">
        <v>202</v>
      </c>
      <c r="F39" s="4">
        <f>ROUND(Source!P36,O39)</f>
        <v>3986.29</v>
      </c>
      <c r="G39" s="4" t="s">
        <v>55</v>
      </c>
      <c r="H39" s="4" t="s">
        <v>56</v>
      </c>
      <c r="I39" s="4"/>
      <c r="J39" s="4"/>
      <c r="K39" s="4">
        <v>202</v>
      </c>
      <c r="L39" s="4">
        <v>2</v>
      </c>
      <c r="M39" s="4">
        <v>3</v>
      </c>
      <c r="N39" s="4" t="s">
        <v>3</v>
      </c>
      <c r="O39" s="4">
        <v>2</v>
      </c>
      <c r="P39" s="4"/>
      <c r="Q39" s="4"/>
      <c r="R39" s="4"/>
      <c r="S39" s="4"/>
      <c r="T39" s="4"/>
      <c r="U39" s="4"/>
      <c r="V39" s="4"/>
      <c r="W39" s="4"/>
    </row>
    <row r="40" spans="1:245" x14ac:dyDescent="0.2">
      <c r="A40" s="4">
        <v>50</v>
      </c>
      <c r="B40" s="4">
        <v>0</v>
      </c>
      <c r="C40" s="4">
        <v>0</v>
      </c>
      <c r="D40" s="4">
        <v>1</v>
      </c>
      <c r="E40" s="4">
        <v>222</v>
      </c>
      <c r="F40" s="4">
        <f>ROUND(Source!AO36,O40)</f>
        <v>0</v>
      </c>
      <c r="G40" s="4" t="s">
        <v>57</v>
      </c>
      <c r="H40" s="4" t="s">
        <v>58</v>
      </c>
      <c r="I40" s="4"/>
      <c r="J40" s="4"/>
      <c r="K40" s="4">
        <v>222</v>
      </c>
      <c r="L40" s="4">
        <v>3</v>
      </c>
      <c r="M40" s="4">
        <v>3</v>
      </c>
      <c r="N40" s="4" t="s">
        <v>3</v>
      </c>
      <c r="O40" s="4">
        <v>2</v>
      </c>
      <c r="P40" s="4"/>
      <c r="Q40" s="4"/>
      <c r="R40" s="4"/>
      <c r="S40" s="4"/>
      <c r="T40" s="4"/>
      <c r="U40" s="4"/>
      <c r="V40" s="4"/>
      <c r="W40" s="4"/>
    </row>
    <row r="41" spans="1:245" x14ac:dyDescent="0.2">
      <c r="A41" s="4">
        <v>50</v>
      </c>
      <c r="B41" s="4">
        <v>0</v>
      </c>
      <c r="C41" s="4">
        <v>0</v>
      </c>
      <c r="D41" s="4">
        <v>1</v>
      </c>
      <c r="E41" s="4">
        <v>225</v>
      </c>
      <c r="F41" s="4">
        <f>ROUND(Source!AV36,O41)</f>
        <v>3986.29</v>
      </c>
      <c r="G41" s="4" t="s">
        <v>59</v>
      </c>
      <c r="H41" s="4" t="s">
        <v>60</v>
      </c>
      <c r="I41" s="4"/>
      <c r="J41" s="4"/>
      <c r="K41" s="4">
        <v>225</v>
      </c>
      <c r="L41" s="4">
        <v>4</v>
      </c>
      <c r="M41" s="4">
        <v>3</v>
      </c>
      <c r="N41" s="4" t="s">
        <v>3</v>
      </c>
      <c r="O41" s="4">
        <v>2</v>
      </c>
      <c r="P41" s="4"/>
      <c r="Q41" s="4"/>
      <c r="R41" s="4"/>
      <c r="S41" s="4"/>
      <c r="T41" s="4"/>
      <c r="U41" s="4"/>
      <c r="V41" s="4"/>
      <c r="W41" s="4"/>
    </row>
    <row r="42" spans="1:245" x14ac:dyDescent="0.2">
      <c r="A42" s="4">
        <v>50</v>
      </c>
      <c r="B42" s="4">
        <v>0</v>
      </c>
      <c r="C42" s="4">
        <v>0</v>
      </c>
      <c r="D42" s="4">
        <v>1</v>
      </c>
      <c r="E42" s="4">
        <v>226</v>
      </c>
      <c r="F42" s="4">
        <f>ROUND(Source!AW36,O42)</f>
        <v>3986.29</v>
      </c>
      <c r="G42" s="4" t="s">
        <v>61</v>
      </c>
      <c r="H42" s="4" t="s">
        <v>62</v>
      </c>
      <c r="I42" s="4"/>
      <c r="J42" s="4"/>
      <c r="K42" s="4">
        <v>226</v>
      </c>
      <c r="L42" s="4">
        <v>5</v>
      </c>
      <c r="M42" s="4">
        <v>3</v>
      </c>
      <c r="N42" s="4" t="s">
        <v>3</v>
      </c>
      <c r="O42" s="4">
        <v>2</v>
      </c>
      <c r="P42" s="4"/>
      <c r="Q42" s="4"/>
      <c r="R42" s="4"/>
      <c r="S42" s="4"/>
      <c r="T42" s="4"/>
      <c r="U42" s="4"/>
      <c r="V42" s="4"/>
      <c r="W42" s="4"/>
    </row>
    <row r="43" spans="1:245" x14ac:dyDescent="0.2">
      <c r="A43" s="4">
        <v>50</v>
      </c>
      <c r="B43" s="4">
        <v>0</v>
      </c>
      <c r="C43" s="4">
        <v>0</v>
      </c>
      <c r="D43" s="4">
        <v>1</v>
      </c>
      <c r="E43" s="4">
        <v>227</v>
      </c>
      <c r="F43" s="4">
        <f>ROUND(Source!AX36,O43)</f>
        <v>0</v>
      </c>
      <c r="G43" s="4" t="s">
        <v>63</v>
      </c>
      <c r="H43" s="4" t="s">
        <v>64</v>
      </c>
      <c r="I43" s="4"/>
      <c r="J43" s="4"/>
      <c r="K43" s="4">
        <v>227</v>
      </c>
      <c r="L43" s="4">
        <v>6</v>
      </c>
      <c r="M43" s="4">
        <v>3</v>
      </c>
      <c r="N43" s="4" t="s">
        <v>3</v>
      </c>
      <c r="O43" s="4">
        <v>2</v>
      </c>
      <c r="P43" s="4"/>
      <c r="Q43" s="4"/>
      <c r="R43" s="4"/>
      <c r="S43" s="4"/>
      <c r="T43" s="4"/>
      <c r="U43" s="4"/>
      <c r="V43" s="4"/>
      <c r="W43" s="4"/>
    </row>
    <row r="44" spans="1:245" x14ac:dyDescent="0.2">
      <c r="A44" s="4">
        <v>50</v>
      </c>
      <c r="B44" s="4">
        <v>0</v>
      </c>
      <c r="C44" s="4">
        <v>0</v>
      </c>
      <c r="D44" s="4">
        <v>1</v>
      </c>
      <c r="E44" s="4">
        <v>228</v>
      </c>
      <c r="F44" s="4">
        <f>ROUND(Source!AY36,O44)</f>
        <v>3986.29</v>
      </c>
      <c r="G44" s="4" t="s">
        <v>65</v>
      </c>
      <c r="H44" s="4" t="s">
        <v>66</v>
      </c>
      <c r="I44" s="4"/>
      <c r="J44" s="4"/>
      <c r="K44" s="4">
        <v>228</v>
      </c>
      <c r="L44" s="4">
        <v>7</v>
      </c>
      <c r="M44" s="4">
        <v>3</v>
      </c>
      <c r="N44" s="4" t="s">
        <v>3</v>
      </c>
      <c r="O44" s="4">
        <v>2</v>
      </c>
      <c r="P44" s="4"/>
      <c r="Q44" s="4"/>
      <c r="R44" s="4"/>
      <c r="S44" s="4"/>
      <c r="T44" s="4"/>
      <c r="U44" s="4"/>
      <c r="V44" s="4"/>
      <c r="W44" s="4"/>
    </row>
    <row r="45" spans="1:245" x14ac:dyDescent="0.2">
      <c r="A45" s="4">
        <v>50</v>
      </c>
      <c r="B45" s="4">
        <v>0</v>
      </c>
      <c r="C45" s="4">
        <v>0</v>
      </c>
      <c r="D45" s="4">
        <v>1</v>
      </c>
      <c r="E45" s="4">
        <v>216</v>
      </c>
      <c r="F45" s="4">
        <f>ROUND(Source!AP36,O45)</f>
        <v>0</v>
      </c>
      <c r="G45" s="4" t="s">
        <v>67</v>
      </c>
      <c r="H45" s="4" t="s">
        <v>68</v>
      </c>
      <c r="I45" s="4"/>
      <c r="J45" s="4"/>
      <c r="K45" s="4">
        <v>216</v>
      </c>
      <c r="L45" s="4">
        <v>8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/>
    </row>
    <row r="46" spans="1:245" x14ac:dyDescent="0.2">
      <c r="A46" s="4">
        <v>50</v>
      </c>
      <c r="B46" s="4">
        <v>0</v>
      </c>
      <c r="C46" s="4">
        <v>0</v>
      </c>
      <c r="D46" s="4">
        <v>1</v>
      </c>
      <c r="E46" s="4">
        <v>223</v>
      </c>
      <c r="F46" s="4">
        <f>ROUND(Source!AQ36,O46)</f>
        <v>0</v>
      </c>
      <c r="G46" s="4" t="s">
        <v>69</v>
      </c>
      <c r="H46" s="4" t="s">
        <v>70</v>
      </c>
      <c r="I46" s="4"/>
      <c r="J46" s="4"/>
      <c r="K46" s="4">
        <v>223</v>
      </c>
      <c r="L46" s="4">
        <v>9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/>
    </row>
    <row r="47" spans="1:245" x14ac:dyDescent="0.2">
      <c r="A47" s="4">
        <v>50</v>
      </c>
      <c r="B47" s="4">
        <v>0</v>
      </c>
      <c r="C47" s="4">
        <v>0</v>
      </c>
      <c r="D47" s="4">
        <v>1</v>
      </c>
      <c r="E47" s="4">
        <v>229</v>
      </c>
      <c r="F47" s="4">
        <f>ROUND(Source!AZ36,O47)</f>
        <v>0</v>
      </c>
      <c r="G47" s="4" t="s">
        <v>71</v>
      </c>
      <c r="H47" s="4" t="s">
        <v>72</v>
      </c>
      <c r="I47" s="4"/>
      <c r="J47" s="4"/>
      <c r="K47" s="4">
        <v>229</v>
      </c>
      <c r="L47" s="4">
        <v>10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/>
    </row>
    <row r="48" spans="1:245" x14ac:dyDescent="0.2">
      <c r="A48" s="4">
        <v>50</v>
      </c>
      <c r="B48" s="4">
        <v>0</v>
      </c>
      <c r="C48" s="4">
        <v>0</v>
      </c>
      <c r="D48" s="4">
        <v>1</v>
      </c>
      <c r="E48" s="4">
        <v>203</v>
      </c>
      <c r="F48" s="4">
        <f>ROUND(Source!Q36,O48)</f>
        <v>2263.35</v>
      </c>
      <c r="G48" s="4" t="s">
        <v>73</v>
      </c>
      <c r="H48" s="4" t="s">
        <v>74</v>
      </c>
      <c r="I48" s="4"/>
      <c r="J48" s="4"/>
      <c r="K48" s="4">
        <v>203</v>
      </c>
      <c r="L48" s="4">
        <v>11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/>
    </row>
    <row r="49" spans="1:23" x14ac:dyDescent="0.2">
      <c r="A49" s="4">
        <v>50</v>
      </c>
      <c r="B49" s="4">
        <v>0</v>
      </c>
      <c r="C49" s="4">
        <v>0</v>
      </c>
      <c r="D49" s="4">
        <v>1</v>
      </c>
      <c r="E49" s="4">
        <v>231</v>
      </c>
      <c r="F49" s="4">
        <f>ROUND(Source!BB36,O49)</f>
        <v>0</v>
      </c>
      <c r="G49" s="4" t="s">
        <v>75</v>
      </c>
      <c r="H49" s="4" t="s">
        <v>76</v>
      </c>
      <c r="I49" s="4"/>
      <c r="J49" s="4"/>
      <c r="K49" s="4">
        <v>231</v>
      </c>
      <c r="L49" s="4">
        <v>12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/>
    </row>
    <row r="50" spans="1:23" x14ac:dyDescent="0.2">
      <c r="A50" s="4">
        <v>50</v>
      </c>
      <c r="B50" s="4">
        <v>0</v>
      </c>
      <c r="C50" s="4">
        <v>0</v>
      </c>
      <c r="D50" s="4">
        <v>1</v>
      </c>
      <c r="E50" s="4">
        <v>204</v>
      </c>
      <c r="F50" s="4">
        <f>ROUND(Source!R36,O50)</f>
        <v>477.26</v>
      </c>
      <c r="G50" s="4" t="s">
        <v>77</v>
      </c>
      <c r="H50" s="4" t="s">
        <v>78</v>
      </c>
      <c r="I50" s="4"/>
      <c r="J50" s="4"/>
      <c r="K50" s="4">
        <v>204</v>
      </c>
      <c r="L50" s="4">
        <v>13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/>
    </row>
    <row r="51" spans="1:23" x14ac:dyDescent="0.2">
      <c r="A51" s="4">
        <v>50</v>
      </c>
      <c r="B51" s="4">
        <v>0</v>
      </c>
      <c r="C51" s="4">
        <v>0</v>
      </c>
      <c r="D51" s="4">
        <v>1</v>
      </c>
      <c r="E51" s="4">
        <v>205</v>
      </c>
      <c r="F51" s="4">
        <f>ROUND(Source!S36,O51)</f>
        <v>808.25</v>
      </c>
      <c r="G51" s="4" t="s">
        <v>79</v>
      </c>
      <c r="H51" s="4" t="s">
        <v>80</v>
      </c>
      <c r="I51" s="4"/>
      <c r="J51" s="4"/>
      <c r="K51" s="4">
        <v>205</v>
      </c>
      <c r="L51" s="4">
        <v>14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/>
    </row>
    <row r="52" spans="1:23" x14ac:dyDescent="0.2">
      <c r="A52" s="4">
        <v>50</v>
      </c>
      <c r="B52" s="4">
        <v>0</v>
      </c>
      <c r="C52" s="4">
        <v>0</v>
      </c>
      <c r="D52" s="4">
        <v>1</v>
      </c>
      <c r="E52" s="4">
        <v>232</v>
      </c>
      <c r="F52" s="4">
        <f>ROUND(Source!BC36,O52)</f>
        <v>0</v>
      </c>
      <c r="G52" s="4" t="s">
        <v>81</v>
      </c>
      <c r="H52" s="4" t="s">
        <v>82</v>
      </c>
      <c r="I52" s="4"/>
      <c r="J52" s="4"/>
      <c r="K52" s="4">
        <v>232</v>
      </c>
      <c r="L52" s="4">
        <v>15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/>
    </row>
    <row r="53" spans="1:23" x14ac:dyDescent="0.2">
      <c r="A53" s="4">
        <v>50</v>
      </c>
      <c r="B53" s="4">
        <v>0</v>
      </c>
      <c r="C53" s="4">
        <v>0</v>
      </c>
      <c r="D53" s="4">
        <v>1</v>
      </c>
      <c r="E53" s="4">
        <v>214</v>
      </c>
      <c r="F53" s="4">
        <f>ROUND(Source!AS36,O53)</f>
        <v>7456.71</v>
      </c>
      <c r="G53" s="4" t="s">
        <v>83</v>
      </c>
      <c r="H53" s="4" t="s">
        <v>84</v>
      </c>
      <c r="I53" s="4"/>
      <c r="J53" s="4"/>
      <c r="K53" s="4">
        <v>214</v>
      </c>
      <c r="L53" s="4">
        <v>16</v>
      </c>
      <c r="M53" s="4">
        <v>3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/>
    </row>
    <row r="54" spans="1:23" x14ac:dyDescent="0.2">
      <c r="A54" s="4">
        <v>50</v>
      </c>
      <c r="B54" s="4">
        <v>0</v>
      </c>
      <c r="C54" s="4">
        <v>0</v>
      </c>
      <c r="D54" s="4">
        <v>1</v>
      </c>
      <c r="E54" s="4">
        <v>215</v>
      </c>
      <c r="F54" s="4">
        <f>ROUND(Source!AT36,O54)</f>
        <v>0</v>
      </c>
      <c r="G54" s="4" t="s">
        <v>85</v>
      </c>
      <c r="H54" s="4" t="s">
        <v>86</v>
      </c>
      <c r="I54" s="4"/>
      <c r="J54" s="4"/>
      <c r="K54" s="4">
        <v>215</v>
      </c>
      <c r="L54" s="4">
        <v>17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/>
    </row>
    <row r="55" spans="1:23" x14ac:dyDescent="0.2">
      <c r="A55" s="4">
        <v>50</v>
      </c>
      <c r="B55" s="4">
        <v>0</v>
      </c>
      <c r="C55" s="4">
        <v>0</v>
      </c>
      <c r="D55" s="4">
        <v>1</v>
      </c>
      <c r="E55" s="4">
        <v>217</v>
      </c>
      <c r="F55" s="4">
        <f>ROUND(Source!AU36,O55)</f>
        <v>1368.88</v>
      </c>
      <c r="G55" s="4" t="s">
        <v>87</v>
      </c>
      <c r="H55" s="4" t="s">
        <v>88</v>
      </c>
      <c r="I55" s="4"/>
      <c r="J55" s="4"/>
      <c r="K55" s="4">
        <v>217</v>
      </c>
      <c r="L55" s="4">
        <v>18</v>
      </c>
      <c r="M55" s="4">
        <v>3</v>
      </c>
      <c r="N55" s="4" t="s">
        <v>3</v>
      </c>
      <c r="O55" s="4">
        <v>2</v>
      </c>
      <c r="P55" s="4"/>
      <c r="Q55" s="4"/>
      <c r="R55" s="4"/>
      <c r="S55" s="4"/>
      <c r="T55" s="4"/>
      <c r="U55" s="4"/>
      <c r="V55" s="4"/>
      <c r="W55" s="4"/>
    </row>
    <row r="56" spans="1:23" x14ac:dyDescent="0.2">
      <c r="A56" s="4">
        <v>50</v>
      </c>
      <c r="B56" s="4">
        <v>0</v>
      </c>
      <c r="C56" s="4">
        <v>0</v>
      </c>
      <c r="D56" s="4">
        <v>1</v>
      </c>
      <c r="E56" s="4">
        <v>230</v>
      </c>
      <c r="F56" s="4">
        <f>ROUND(Source!BA36,O56)</f>
        <v>0</v>
      </c>
      <c r="G56" s="4" t="s">
        <v>89</v>
      </c>
      <c r="H56" s="4" t="s">
        <v>90</v>
      </c>
      <c r="I56" s="4"/>
      <c r="J56" s="4"/>
      <c r="K56" s="4">
        <v>230</v>
      </c>
      <c r="L56" s="4">
        <v>19</v>
      </c>
      <c r="M56" s="4">
        <v>3</v>
      </c>
      <c r="N56" s="4" t="s">
        <v>3</v>
      </c>
      <c r="O56" s="4">
        <v>2</v>
      </c>
      <c r="P56" s="4"/>
      <c r="Q56" s="4"/>
      <c r="R56" s="4"/>
      <c r="S56" s="4"/>
      <c r="T56" s="4"/>
      <c r="U56" s="4"/>
      <c r="V56" s="4"/>
      <c r="W56" s="4"/>
    </row>
    <row r="57" spans="1:23" x14ac:dyDescent="0.2">
      <c r="A57" s="4">
        <v>50</v>
      </c>
      <c r="B57" s="4">
        <v>0</v>
      </c>
      <c r="C57" s="4">
        <v>0</v>
      </c>
      <c r="D57" s="4">
        <v>1</v>
      </c>
      <c r="E57" s="4">
        <v>206</v>
      </c>
      <c r="F57" s="4">
        <f>ROUND(Source!T36,O57)</f>
        <v>0</v>
      </c>
      <c r="G57" s="4" t="s">
        <v>91</v>
      </c>
      <c r="H57" s="4" t="s">
        <v>92</v>
      </c>
      <c r="I57" s="4"/>
      <c r="J57" s="4"/>
      <c r="K57" s="4">
        <v>206</v>
      </c>
      <c r="L57" s="4">
        <v>20</v>
      </c>
      <c r="M57" s="4">
        <v>3</v>
      </c>
      <c r="N57" s="4" t="s">
        <v>3</v>
      </c>
      <c r="O57" s="4">
        <v>2</v>
      </c>
      <c r="P57" s="4"/>
      <c r="Q57" s="4"/>
      <c r="R57" s="4"/>
      <c r="S57" s="4"/>
      <c r="T57" s="4"/>
      <c r="U57" s="4"/>
      <c r="V57" s="4"/>
      <c r="W57" s="4"/>
    </row>
    <row r="58" spans="1:23" x14ac:dyDescent="0.2">
      <c r="A58" s="4">
        <v>50</v>
      </c>
      <c r="B58" s="4">
        <v>0</v>
      </c>
      <c r="C58" s="4">
        <v>0</v>
      </c>
      <c r="D58" s="4">
        <v>1</v>
      </c>
      <c r="E58" s="4">
        <v>207</v>
      </c>
      <c r="F58" s="4">
        <f>Source!U36</f>
        <v>3.2038199999999999</v>
      </c>
      <c r="G58" s="4" t="s">
        <v>93</v>
      </c>
      <c r="H58" s="4" t="s">
        <v>94</v>
      </c>
      <c r="I58" s="4"/>
      <c r="J58" s="4"/>
      <c r="K58" s="4">
        <v>207</v>
      </c>
      <c r="L58" s="4">
        <v>21</v>
      </c>
      <c r="M58" s="4">
        <v>3</v>
      </c>
      <c r="N58" s="4" t="s">
        <v>3</v>
      </c>
      <c r="O58" s="4">
        <v>-1</v>
      </c>
      <c r="P58" s="4"/>
      <c r="Q58" s="4"/>
      <c r="R58" s="4"/>
      <c r="S58" s="4"/>
      <c r="T58" s="4"/>
      <c r="U58" s="4"/>
      <c r="V58" s="4"/>
      <c r="W58" s="4"/>
    </row>
    <row r="59" spans="1:23" x14ac:dyDescent="0.2">
      <c r="A59" s="4">
        <v>50</v>
      </c>
      <c r="B59" s="4">
        <v>0</v>
      </c>
      <c r="C59" s="4">
        <v>0</v>
      </c>
      <c r="D59" s="4">
        <v>1</v>
      </c>
      <c r="E59" s="4">
        <v>208</v>
      </c>
      <c r="F59" s="4">
        <f>Source!V36</f>
        <v>0</v>
      </c>
      <c r="G59" s="4" t="s">
        <v>95</v>
      </c>
      <c r="H59" s="4" t="s">
        <v>96</v>
      </c>
      <c r="I59" s="4"/>
      <c r="J59" s="4"/>
      <c r="K59" s="4">
        <v>208</v>
      </c>
      <c r="L59" s="4">
        <v>22</v>
      </c>
      <c r="M59" s="4">
        <v>3</v>
      </c>
      <c r="N59" s="4" t="s">
        <v>3</v>
      </c>
      <c r="O59" s="4">
        <v>-1</v>
      </c>
      <c r="P59" s="4"/>
      <c r="Q59" s="4"/>
      <c r="R59" s="4"/>
      <c r="S59" s="4"/>
      <c r="T59" s="4"/>
      <c r="U59" s="4"/>
      <c r="V59" s="4"/>
      <c r="W59" s="4"/>
    </row>
    <row r="60" spans="1:23" x14ac:dyDescent="0.2">
      <c r="A60" s="4">
        <v>50</v>
      </c>
      <c r="B60" s="4">
        <v>0</v>
      </c>
      <c r="C60" s="4">
        <v>0</v>
      </c>
      <c r="D60" s="4">
        <v>1</v>
      </c>
      <c r="E60" s="4">
        <v>209</v>
      </c>
      <c r="F60" s="4">
        <f>ROUND(Source!W36,O60)</f>
        <v>0</v>
      </c>
      <c r="G60" s="4" t="s">
        <v>97</v>
      </c>
      <c r="H60" s="4" t="s">
        <v>98</v>
      </c>
      <c r="I60" s="4"/>
      <c r="J60" s="4"/>
      <c r="K60" s="4">
        <v>209</v>
      </c>
      <c r="L60" s="4">
        <v>23</v>
      </c>
      <c r="M60" s="4">
        <v>3</v>
      </c>
      <c r="N60" s="4" t="s">
        <v>3</v>
      </c>
      <c r="O60" s="4">
        <v>2</v>
      </c>
      <c r="P60" s="4"/>
      <c r="Q60" s="4"/>
      <c r="R60" s="4"/>
      <c r="S60" s="4"/>
      <c r="T60" s="4"/>
      <c r="U60" s="4"/>
      <c r="V60" s="4"/>
      <c r="W60" s="4"/>
    </row>
    <row r="61" spans="1:23" x14ac:dyDescent="0.2">
      <c r="A61" s="4">
        <v>50</v>
      </c>
      <c r="B61" s="4">
        <v>0</v>
      </c>
      <c r="C61" s="4">
        <v>0</v>
      </c>
      <c r="D61" s="4">
        <v>1</v>
      </c>
      <c r="E61" s="4">
        <v>233</v>
      </c>
      <c r="F61" s="4">
        <f>ROUND(Source!BD36,O61)</f>
        <v>0</v>
      </c>
      <c r="G61" s="4" t="s">
        <v>99</v>
      </c>
      <c r="H61" s="4" t="s">
        <v>100</v>
      </c>
      <c r="I61" s="4"/>
      <c r="J61" s="4"/>
      <c r="K61" s="4">
        <v>233</v>
      </c>
      <c r="L61" s="4">
        <v>24</v>
      </c>
      <c r="M61" s="4">
        <v>3</v>
      </c>
      <c r="N61" s="4" t="s">
        <v>3</v>
      </c>
      <c r="O61" s="4">
        <v>2</v>
      </c>
      <c r="P61" s="4"/>
      <c r="Q61" s="4"/>
      <c r="R61" s="4"/>
      <c r="S61" s="4"/>
      <c r="T61" s="4"/>
      <c r="U61" s="4"/>
      <c r="V61" s="4"/>
      <c r="W61" s="4"/>
    </row>
    <row r="62" spans="1:23" x14ac:dyDescent="0.2">
      <c r="A62" s="4">
        <v>50</v>
      </c>
      <c r="B62" s="4">
        <v>0</v>
      </c>
      <c r="C62" s="4">
        <v>0</v>
      </c>
      <c r="D62" s="4">
        <v>1</v>
      </c>
      <c r="E62" s="4">
        <v>210</v>
      </c>
      <c r="F62" s="4">
        <f>ROUND(Source!X36,O62)</f>
        <v>687.02</v>
      </c>
      <c r="G62" s="4" t="s">
        <v>101</v>
      </c>
      <c r="H62" s="4" t="s">
        <v>102</v>
      </c>
      <c r="I62" s="4"/>
      <c r="J62" s="4"/>
      <c r="K62" s="4">
        <v>210</v>
      </c>
      <c r="L62" s="4">
        <v>25</v>
      </c>
      <c r="M62" s="4">
        <v>3</v>
      </c>
      <c r="N62" s="4" t="s">
        <v>3</v>
      </c>
      <c r="O62" s="4">
        <v>2</v>
      </c>
      <c r="P62" s="4"/>
      <c r="Q62" s="4"/>
      <c r="R62" s="4"/>
      <c r="S62" s="4"/>
      <c r="T62" s="4"/>
      <c r="U62" s="4"/>
      <c r="V62" s="4"/>
      <c r="W62" s="4"/>
    </row>
    <row r="63" spans="1:23" x14ac:dyDescent="0.2">
      <c r="A63" s="4">
        <v>50</v>
      </c>
      <c r="B63" s="4">
        <v>0</v>
      </c>
      <c r="C63" s="4">
        <v>0</v>
      </c>
      <c r="D63" s="4">
        <v>1</v>
      </c>
      <c r="E63" s="4">
        <v>211</v>
      </c>
      <c r="F63" s="4">
        <f>ROUND(Source!Y36,O63)</f>
        <v>331.38</v>
      </c>
      <c r="G63" s="4" t="s">
        <v>103</v>
      </c>
      <c r="H63" s="4" t="s">
        <v>104</v>
      </c>
      <c r="I63" s="4"/>
      <c r="J63" s="4"/>
      <c r="K63" s="4">
        <v>211</v>
      </c>
      <c r="L63" s="4">
        <v>26</v>
      </c>
      <c r="M63" s="4">
        <v>3</v>
      </c>
      <c r="N63" s="4" t="s">
        <v>3</v>
      </c>
      <c r="O63" s="4">
        <v>2</v>
      </c>
      <c r="P63" s="4"/>
      <c r="Q63" s="4"/>
      <c r="R63" s="4"/>
      <c r="S63" s="4"/>
      <c r="T63" s="4"/>
      <c r="U63" s="4"/>
      <c r="V63" s="4"/>
      <c r="W63" s="4"/>
    </row>
    <row r="64" spans="1:23" x14ac:dyDescent="0.2">
      <c r="A64" s="4">
        <v>50</v>
      </c>
      <c r="B64" s="4">
        <v>0</v>
      </c>
      <c r="C64" s="4">
        <v>0</v>
      </c>
      <c r="D64" s="4">
        <v>1</v>
      </c>
      <c r="E64" s="4">
        <v>224</v>
      </c>
      <c r="F64" s="4">
        <f>ROUND(Source!AR36,O64)</f>
        <v>8825.59</v>
      </c>
      <c r="G64" s="4" t="s">
        <v>105</v>
      </c>
      <c r="H64" s="4" t="s">
        <v>106</v>
      </c>
      <c r="I64" s="4"/>
      <c r="J64" s="4"/>
      <c r="K64" s="4">
        <v>224</v>
      </c>
      <c r="L64" s="4">
        <v>27</v>
      </c>
      <c r="M64" s="4">
        <v>3</v>
      </c>
      <c r="N64" s="4" t="s">
        <v>3</v>
      </c>
      <c r="O64" s="4">
        <v>2</v>
      </c>
      <c r="P64" s="4"/>
      <c r="Q64" s="4"/>
      <c r="R64" s="4"/>
      <c r="S64" s="4"/>
      <c r="T64" s="4"/>
      <c r="U64" s="4"/>
      <c r="V64" s="4"/>
      <c r="W64" s="4"/>
    </row>
    <row r="66" spans="1:245" x14ac:dyDescent="0.2">
      <c r="A66" s="1">
        <v>4</v>
      </c>
      <c r="B66" s="1">
        <v>1</v>
      </c>
      <c r="C66" s="1"/>
      <c r="D66" s="1">
        <f>ROW(A74)</f>
        <v>74</v>
      </c>
      <c r="E66" s="1"/>
      <c r="F66" s="1" t="s">
        <v>25</v>
      </c>
      <c r="G66" s="1" t="s">
        <v>107</v>
      </c>
      <c r="H66" s="1" t="s">
        <v>3</v>
      </c>
      <c r="I66" s="1">
        <v>0</v>
      </c>
      <c r="J66" s="1"/>
      <c r="K66" s="1">
        <v>-1</v>
      </c>
      <c r="L66" s="1"/>
      <c r="M66" s="1"/>
      <c r="N66" s="1"/>
      <c r="O66" s="1"/>
      <c r="P66" s="1"/>
      <c r="Q66" s="1"/>
      <c r="R66" s="1"/>
      <c r="S66" s="1"/>
      <c r="T66" s="1"/>
      <c r="U66" s="1" t="s">
        <v>3</v>
      </c>
      <c r="V66" s="1">
        <v>0</v>
      </c>
      <c r="W66" s="1"/>
      <c r="X66" s="1"/>
      <c r="Y66" s="1"/>
      <c r="Z66" s="1"/>
      <c r="AA66" s="1"/>
      <c r="AB66" s="1" t="s">
        <v>3</v>
      </c>
      <c r="AC66" s="1" t="s">
        <v>3</v>
      </c>
      <c r="AD66" s="1" t="s">
        <v>3</v>
      </c>
      <c r="AE66" s="1" t="s">
        <v>3</v>
      </c>
      <c r="AF66" s="1" t="s">
        <v>3</v>
      </c>
      <c r="AG66" s="1" t="s">
        <v>3</v>
      </c>
      <c r="AH66" s="1"/>
      <c r="AI66" s="1"/>
      <c r="AJ66" s="1"/>
      <c r="AK66" s="1"/>
      <c r="AL66" s="1"/>
      <c r="AM66" s="1"/>
      <c r="AN66" s="1"/>
      <c r="AO66" s="1"/>
      <c r="AP66" s="1" t="s">
        <v>3</v>
      </c>
      <c r="AQ66" s="1" t="s">
        <v>3</v>
      </c>
      <c r="AR66" s="1" t="s">
        <v>3</v>
      </c>
      <c r="AS66" s="1"/>
      <c r="AT66" s="1"/>
      <c r="AU66" s="1"/>
      <c r="AV66" s="1"/>
      <c r="AW66" s="1"/>
      <c r="AX66" s="1"/>
      <c r="AY66" s="1"/>
      <c r="AZ66" s="1" t="s">
        <v>3</v>
      </c>
      <c r="BA66" s="1"/>
      <c r="BB66" s="1" t="s">
        <v>3</v>
      </c>
      <c r="BC66" s="1" t="s">
        <v>3</v>
      </c>
      <c r="BD66" s="1" t="s">
        <v>3</v>
      </c>
      <c r="BE66" s="1" t="s">
        <v>3</v>
      </c>
      <c r="BF66" s="1" t="s">
        <v>3</v>
      </c>
      <c r="BG66" s="1" t="s">
        <v>3</v>
      </c>
      <c r="BH66" s="1" t="s">
        <v>3</v>
      </c>
      <c r="BI66" s="1" t="s">
        <v>3</v>
      </c>
      <c r="BJ66" s="1" t="s">
        <v>3</v>
      </c>
      <c r="BK66" s="1" t="s">
        <v>3</v>
      </c>
      <c r="BL66" s="1" t="s">
        <v>3</v>
      </c>
      <c r="BM66" s="1" t="s">
        <v>3</v>
      </c>
      <c r="BN66" s="1" t="s">
        <v>3</v>
      </c>
      <c r="BO66" s="1" t="s">
        <v>3</v>
      </c>
      <c r="BP66" s="1" t="s">
        <v>3</v>
      </c>
      <c r="BQ66" s="1"/>
      <c r="BR66" s="1"/>
      <c r="BS66" s="1"/>
      <c r="BT66" s="1"/>
      <c r="BU66" s="1"/>
      <c r="BV66" s="1"/>
      <c r="BW66" s="1"/>
      <c r="BX66" s="1">
        <v>0</v>
      </c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>
        <v>0</v>
      </c>
    </row>
    <row r="68" spans="1:245" x14ac:dyDescent="0.2">
      <c r="A68" s="2">
        <v>52</v>
      </c>
      <c r="B68" s="2">
        <f t="shared" ref="B68:G68" si="57">B74</f>
        <v>1</v>
      </c>
      <c r="C68" s="2">
        <f t="shared" si="57"/>
        <v>4</v>
      </c>
      <c r="D68" s="2">
        <f t="shared" si="57"/>
        <v>66</v>
      </c>
      <c r="E68" s="2">
        <f t="shared" si="57"/>
        <v>0</v>
      </c>
      <c r="F68" s="2" t="str">
        <f t="shared" si="57"/>
        <v>2</v>
      </c>
      <c r="G68" s="2" t="str">
        <f t="shared" si="57"/>
        <v>Демонтажные работы</v>
      </c>
      <c r="H68" s="2"/>
      <c r="I68" s="2"/>
      <c r="J68" s="2"/>
      <c r="K68" s="2"/>
      <c r="L68" s="2"/>
      <c r="M68" s="2"/>
      <c r="N68" s="2"/>
      <c r="O68" s="2">
        <f t="shared" ref="O68:AT68" si="58">O74</f>
        <v>212372.95</v>
      </c>
      <c r="P68" s="2">
        <f t="shared" si="58"/>
        <v>186577.33</v>
      </c>
      <c r="Q68" s="2">
        <f t="shared" si="58"/>
        <v>10380.709999999999</v>
      </c>
      <c r="R68" s="2">
        <f t="shared" si="58"/>
        <v>5725.03</v>
      </c>
      <c r="S68" s="2">
        <f t="shared" si="58"/>
        <v>15414.91</v>
      </c>
      <c r="T68" s="2">
        <f t="shared" si="58"/>
        <v>0</v>
      </c>
      <c r="U68" s="2">
        <f t="shared" si="58"/>
        <v>52.218632199999995</v>
      </c>
      <c r="V68" s="2">
        <f t="shared" si="58"/>
        <v>0</v>
      </c>
      <c r="W68" s="2">
        <f t="shared" si="58"/>
        <v>0</v>
      </c>
      <c r="X68" s="2">
        <f t="shared" si="58"/>
        <v>13873.42</v>
      </c>
      <c r="Y68" s="2">
        <f t="shared" si="58"/>
        <v>6628.41</v>
      </c>
      <c r="Z68" s="2">
        <f t="shared" si="58"/>
        <v>0</v>
      </c>
      <c r="AA68" s="2">
        <f t="shared" si="58"/>
        <v>0</v>
      </c>
      <c r="AB68" s="2">
        <f t="shared" si="58"/>
        <v>212372.95</v>
      </c>
      <c r="AC68" s="2">
        <f t="shared" si="58"/>
        <v>186577.33</v>
      </c>
      <c r="AD68" s="2">
        <f t="shared" si="58"/>
        <v>10380.709999999999</v>
      </c>
      <c r="AE68" s="2">
        <f t="shared" si="58"/>
        <v>5725.03</v>
      </c>
      <c r="AF68" s="2">
        <f t="shared" si="58"/>
        <v>15414.91</v>
      </c>
      <c r="AG68" s="2">
        <f t="shared" si="58"/>
        <v>0</v>
      </c>
      <c r="AH68" s="2">
        <f t="shared" si="58"/>
        <v>52.218632199999995</v>
      </c>
      <c r="AI68" s="2">
        <f t="shared" si="58"/>
        <v>0</v>
      </c>
      <c r="AJ68" s="2">
        <f t="shared" si="58"/>
        <v>0</v>
      </c>
      <c r="AK68" s="2">
        <f t="shared" si="58"/>
        <v>13873.42</v>
      </c>
      <c r="AL68" s="2">
        <f t="shared" si="58"/>
        <v>6628.41</v>
      </c>
      <c r="AM68" s="2">
        <f t="shared" si="58"/>
        <v>0</v>
      </c>
      <c r="AN68" s="2">
        <f t="shared" si="58"/>
        <v>0</v>
      </c>
      <c r="AO68" s="2">
        <f t="shared" si="58"/>
        <v>0</v>
      </c>
      <c r="AP68" s="2">
        <f t="shared" si="58"/>
        <v>0</v>
      </c>
      <c r="AQ68" s="2">
        <f t="shared" si="58"/>
        <v>0</v>
      </c>
      <c r="AR68" s="2">
        <f t="shared" si="58"/>
        <v>241863.07</v>
      </c>
      <c r="AS68" s="2">
        <f t="shared" si="58"/>
        <v>184382.13</v>
      </c>
      <c r="AT68" s="2">
        <f t="shared" si="58"/>
        <v>57480.94</v>
      </c>
      <c r="AU68" s="2">
        <f t="shared" ref="AU68:BZ68" si="59">AU74</f>
        <v>0</v>
      </c>
      <c r="AV68" s="2">
        <f t="shared" si="59"/>
        <v>186577.33</v>
      </c>
      <c r="AW68" s="2">
        <f t="shared" si="59"/>
        <v>186577.33</v>
      </c>
      <c r="AX68" s="2">
        <f t="shared" si="59"/>
        <v>0</v>
      </c>
      <c r="AY68" s="2">
        <f t="shared" si="59"/>
        <v>186577.33</v>
      </c>
      <c r="AZ68" s="2">
        <f t="shared" si="59"/>
        <v>0</v>
      </c>
      <c r="BA68" s="2">
        <f t="shared" si="59"/>
        <v>0</v>
      </c>
      <c r="BB68" s="2">
        <f t="shared" si="59"/>
        <v>0</v>
      </c>
      <c r="BC68" s="2">
        <f t="shared" si="59"/>
        <v>0</v>
      </c>
      <c r="BD68" s="2">
        <f t="shared" si="59"/>
        <v>0</v>
      </c>
      <c r="BE68" s="2">
        <f t="shared" si="59"/>
        <v>0</v>
      </c>
      <c r="BF68" s="2">
        <f t="shared" si="59"/>
        <v>0</v>
      </c>
      <c r="BG68" s="2">
        <f t="shared" si="59"/>
        <v>0</v>
      </c>
      <c r="BH68" s="2">
        <f t="shared" si="59"/>
        <v>0</v>
      </c>
      <c r="BI68" s="2">
        <f t="shared" si="59"/>
        <v>0</v>
      </c>
      <c r="BJ68" s="2">
        <f t="shared" si="59"/>
        <v>0</v>
      </c>
      <c r="BK68" s="2">
        <f t="shared" si="59"/>
        <v>0</v>
      </c>
      <c r="BL68" s="2">
        <f t="shared" si="59"/>
        <v>0</v>
      </c>
      <c r="BM68" s="2">
        <f t="shared" si="59"/>
        <v>0</v>
      </c>
      <c r="BN68" s="2">
        <f t="shared" si="59"/>
        <v>0</v>
      </c>
      <c r="BO68" s="2">
        <f t="shared" si="59"/>
        <v>0</v>
      </c>
      <c r="BP68" s="2">
        <f t="shared" si="59"/>
        <v>0</v>
      </c>
      <c r="BQ68" s="2">
        <f t="shared" si="59"/>
        <v>0</v>
      </c>
      <c r="BR68" s="2">
        <f t="shared" si="59"/>
        <v>0</v>
      </c>
      <c r="BS68" s="2">
        <f t="shared" si="59"/>
        <v>0</v>
      </c>
      <c r="BT68" s="2">
        <f t="shared" si="59"/>
        <v>0</v>
      </c>
      <c r="BU68" s="2">
        <f t="shared" si="59"/>
        <v>0</v>
      </c>
      <c r="BV68" s="2">
        <f t="shared" si="59"/>
        <v>0</v>
      </c>
      <c r="BW68" s="2">
        <f t="shared" si="59"/>
        <v>0</v>
      </c>
      <c r="BX68" s="2">
        <f t="shared" si="59"/>
        <v>0</v>
      </c>
      <c r="BY68" s="2">
        <f t="shared" si="59"/>
        <v>0</v>
      </c>
      <c r="BZ68" s="2">
        <f t="shared" si="59"/>
        <v>0</v>
      </c>
      <c r="CA68" s="2">
        <f t="shared" ref="CA68:DF68" si="60">CA74</f>
        <v>241863.07</v>
      </c>
      <c r="CB68" s="2">
        <f t="shared" si="60"/>
        <v>184382.13</v>
      </c>
      <c r="CC68" s="2">
        <f t="shared" si="60"/>
        <v>57480.94</v>
      </c>
      <c r="CD68" s="2">
        <f t="shared" si="60"/>
        <v>0</v>
      </c>
      <c r="CE68" s="2">
        <f t="shared" si="60"/>
        <v>186577.33</v>
      </c>
      <c r="CF68" s="2">
        <f t="shared" si="60"/>
        <v>186577.33</v>
      </c>
      <c r="CG68" s="2">
        <f t="shared" si="60"/>
        <v>0</v>
      </c>
      <c r="CH68" s="2">
        <f t="shared" si="60"/>
        <v>186577.33</v>
      </c>
      <c r="CI68" s="2">
        <f t="shared" si="60"/>
        <v>0</v>
      </c>
      <c r="CJ68" s="2">
        <f t="shared" si="60"/>
        <v>0</v>
      </c>
      <c r="CK68" s="2">
        <f t="shared" si="60"/>
        <v>0</v>
      </c>
      <c r="CL68" s="2">
        <f t="shared" si="60"/>
        <v>0</v>
      </c>
      <c r="CM68" s="2">
        <f t="shared" si="60"/>
        <v>0</v>
      </c>
      <c r="CN68" s="2">
        <f t="shared" si="60"/>
        <v>0</v>
      </c>
      <c r="CO68" s="2">
        <f t="shared" si="60"/>
        <v>0</v>
      </c>
      <c r="CP68" s="2">
        <f t="shared" si="60"/>
        <v>0</v>
      </c>
      <c r="CQ68" s="2">
        <f t="shared" si="60"/>
        <v>0</v>
      </c>
      <c r="CR68" s="2">
        <f t="shared" si="60"/>
        <v>0</v>
      </c>
      <c r="CS68" s="2">
        <f t="shared" si="60"/>
        <v>0</v>
      </c>
      <c r="CT68" s="2">
        <f t="shared" si="60"/>
        <v>0</v>
      </c>
      <c r="CU68" s="2">
        <f t="shared" si="60"/>
        <v>0</v>
      </c>
      <c r="CV68" s="2">
        <f t="shared" si="60"/>
        <v>0</v>
      </c>
      <c r="CW68" s="2">
        <f t="shared" si="60"/>
        <v>0</v>
      </c>
      <c r="CX68" s="2">
        <f t="shared" si="60"/>
        <v>0</v>
      </c>
      <c r="CY68" s="2">
        <f t="shared" si="60"/>
        <v>0</v>
      </c>
      <c r="CZ68" s="2">
        <f t="shared" si="60"/>
        <v>0</v>
      </c>
      <c r="DA68" s="2">
        <f t="shared" si="60"/>
        <v>0</v>
      </c>
      <c r="DB68" s="2">
        <f t="shared" si="60"/>
        <v>0</v>
      </c>
      <c r="DC68" s="2">
        <f t="shared" si="60"/>
        <v>0</v>
      </c>
      <c r="DD68" s="2">
        <f t="shared" si="60"/>
        <v>0</v>
      </c>
      <c r="DE68" s="2">
        <f t="shared" si="60"/>
        <v>0</v>
      </c>
      <c r="DF68" s="2">
        <f t="shared" si="60"/>
        <v>0</v>
      </c>
      <c r="DG68" s="3">
        <f t="shared" ref="DG68:EL68" si="61">DG74</f>
        <v>0</v>
      </c>
      <c r="DH68" s="3">
        <f t="shared" si="61"/>
        <v>0</v>
      </c>
      <c r="DI68" s="3">
        <f t="shared" si="61"/>
        <v>0</v>
      </c>
      <c r="DJ68" s="3">
        <f t="shared" si="61"/>
        <v>0</v>
      </c>
      <c r="DK68" s="3">
        <f t="shared" si="61"/>
        <v>0</v>
      </c>
      <c r="DL68" s="3">
        <f t="shared" si="61"/>
        <v>0</v>
      </c>
      <c r="DM68" s="3">
        <f t="shared" si="61"/>
        <v>0</v>
      </c>
      <c r="DN68" s="3">
        <f t="shared" si="61"/>
        <v>0</v>
      </c>
      <c r="DO68" s="3">
        <f t="shared" si="61"/>
        <v>0</v>
      </c>
      <c r="DP68" s="3">
        <f t="shared" si="61"/>
        <v>0</v>
      </c>
      <c r="DQ68" s="3">
        <f t="shared" si="61"/>
        <v>0</v>
      </c>
      <c r="DR68" s="3">
        <f t="shared" si="61"/>
        <v>0</v>
      </c>
      <c r="DS68" s="3">
        <f t="shared" si="61"/>
        <v>0</v>
      </c>
      <c r="DT68" s="3">
        <f t="shared" si="61"/>
        <v>0</v>
      </c>
      <c r="DU68" s="3">
        <f t="shared" si="61"/>
        <v>0</v>
      </c>
      <c r="DV68" s="3">
        <f t="shared" si="61"/>
        <v>0</v>
      </c>
      <c r="DW68" s="3">
        <f t="shared" si="61"/>
        <v>0</v>
      </c>
      <c r="DX68" s="3">
        <f t="shared" si="61"/>
        <v>0</v>
      </c>
      <c r="DY68" s="3">
        <f t="shared" si="61"/>
        <v>0</v>
      </c>
      <c r="DZ68" s="3">
        <f t="shared" si="61"/>
        <v>0</v>
      </c>
      <c r="EA68" s="3">
        <f t="shared" si="61"/>
        <v>0</v>
      </c>
      <c r="EB68" s="3">
        <f t="shared" si="61"/>
        <v>0</v>
      </c>
      <c r="EC68" s="3">
        <f t="shared" si="61"/>
        <v>0</v>
      </c>
      <c r="ED68" s="3">
        <f t="shared" si="61"/>
        <v>0</v>
      </c>
      <c r="EE68" s="3">
        <f t="shared" si="61"/>
        <v>0</v>
      </c>
      <c r="EF68" s="3">
        <f t="shared" si="61"/>
        <v>0</v>
      </c>
      <c r="EG68" s="3">
        <f t="shared" si="61"/>
        <v>0</v>
      </c>
      <c r="EH68" s="3">
        <f t="shared" si="61"/>
        <v>0</v>
      </c>
      <c r="EI68" s="3">
        <f t="shared" si="61"/>
        <v>0</v>
      </c>
      <c r="EJ68" s="3">
        <f t="shared" si="61"/>
        <v>0</v>
      </c>
      <c r="EK68" s="3">
        <f t="shared" si="61"/>
        <v>0</v>
      </c>
      <c r="EL68" s="3">
        <f t="shared" si="61"/>
        <v>0</v>
      </c>
      <c r="EM68" s="3">
        <f t="shared" ref="EM68:FR68" si="62">EM74</f>
        <v>0</v>
      </c>
      <c r="EN68" s="3">
        <f t="shared" si="62"/>
        <v>0</v>
      </c>
      <c r="EO68" s="3">
        <f t="shared" si="62"/>
        <v>0</v>
      </c>
      <c r="EP68" s="3">
        <f t="shared" si="62"/>
        <v>0</v>
      </c>
      <c r="EQ68" s="3">
        <f t="shared" si="62"/>
        <v>0</v>
      </c>
      <c r="ER68" s="3">
        <f t="shared" si="62"/>
        <v>0</v>
      </c>
      <c r="ES68" s="3">
        <f t="shared" si="62"/>
        <v>0</v>
      </c>
      <c r="ET68" s="3">
        <f t="shared" si="62"/>
        <v>0</v>
      </c>
      <c r="EU68" s="3">
        <f t="shared" si="62"/>
        <v>0</v>
      </c>
      <c r="EV68" s="3">
        <f t="shared" si="62"/>
        <v>0</v>
      </c>
      <c r="EW68" s="3">
        <f t="shared" si="62"/>
        <v>0</v>
      </c>
      <c r="EX68" s="3">
        <f t="shared" si="62"/>
        <v>0</v>
      </c>
      <c r="EY68" s="3">
        <f t="shared" si="62"/>
        <v>0</v>
      </c>
      <c r="EZ68" s="3">
        <f t="shared" si="62"/>
        <v>0</v>
      </c>
      <c r="FA68" s="3">
        <f t="shared" si="62"/>
        <v>0</v>
      </c>
      <c r="FB68" s="3">
        <f t="shared" si="62"/>
        <v>0</v>
      </c>
      <c r="FC68" s="3">
        <f t="shared" si="62"/>
        <v>0</v>
      </c>
      <c r="FD68" s="3">
        <f t="shared" si="62"/>
        <v>0</v>
      </c>
      <c r="FE68" s="3">
        <f t="shared" si="62"/>
        <v>0</v>
      </c>
      <c r="FF68" s="3">
        <f t="shared" si="62"/>
        <v>0</v>
      </c>
      <c r="FG68" s="3">
        <f t="shared" si="62"/>
        <v>0</v>
      </c>
      <c r="FH68" s="3">
        <f t="shared" si="62"/>
        <v>0</v>
      </c>
      <c r="FI68" s="3">
        <f t="shared" si="62"/>
        <v>0</v>
      </c>
      <c r="FJ68" s="3">
        <f t="shared" si="62"/>
        <v>0</v>
      </c>
      <c r="FK68" s="3">
        <f t="shared" si="62"/>
        <v>0</v>
      </c>
      <c r="FL68" s="3">
        <f t="shared" si="62"/>
        <v>0</v>
      </c>
      <c r="FM68" s="3">
        <f t="shared" si="62"/>
        <v>0</v>
      </c>
      <c r="FN68" s="3">
        <f t="shared" si="62"/>
        <v>0</v>
      </c>
      <c r="FO68" s="3">
        <f t="shared" si="62"/>
        <v>0</v>
      </c>
      <c r="FP68" s="3">
        <f t="shared" si="62"/>
        <v>0</v>
      </c>
      <c r="FQ68" s="3">
        <f t="shared" si="62"/>
        <v>0</v>
      </c>
      <c r="FR68" s="3">
        <f t="shared" si="62"/>
        <v>0</v>
      </c>
      <c r="FS68" s="3">
        <f t="shared" ref="FS68:GX68" si="63">FS74</f>
        <v>0</v>
      </c>
      <c r="FT68" s="3">
        <f t="shared" si="63"/>
        <v>0</v>
      </c>
      <c r="FU68" s="3">
        <f t="shared" si="63"/>
        <v>0</v>
      </c>
      <c r="FV68" s="3">
        <f t="shared" si="63"/>
        <v>0</v>
      </c>
      <c r="FW68" s="3">
        <f t="shared" si="63"/>
        <v>0</v>
      </c>
      <c r="FX68" s="3">
        <f t="shared" si="63"/>
        <v>0</v>
      </c>
      <c r="FY68" s="3">
        <f t="shared" si="63"/>
        <v>0</v>
      </c>
      <c r="FZ68" s="3">
        <f t="shared" si="63"/>
        <v>0</v>
      </c>
      <c r="GA68" s="3">
        <f t="shared" si="63"/>
        <v>0</v>
      </c>
      <c r="GB68" s="3">
        <f t="shared" si="63"/>
        <v>0</v>
      </c>
      <c r="GC68" s="3">
        <f t="shared" si="63"/>
        <v>0</v>
      </c>
      <c r="GD68" s="3">
        <f t="shared" si="63"/>
        <v>0</v>
      </c>
      <c r="GE68" s="3">
        <f t="shared" si="63"/>
        <v>0</v>
      </c>
      <c r="GF68" s="3">
        <f t="shared" si="63"/>
        <v>0</v>
      </c>
      <c r="GG68" s="3">
        <f t="shared" si="63"/>
        <v>0</v>
      </c>
      <c r="GH68" s="3">
        <f t="shared" si="63"/>
        <v>0</v>
      </c>
      <c r="GI68" s="3">
        <f t="shared" si="63"/>
        <v>0</v>
      </c>
      <c r="GJ68" s="3">
        <f t="shared" si="63"/>
        <v>0</v>
      </c>
      <c r="GK68" s="3">
        <f t="shared" si="63"/>
        <v>0</v>
      </c>
      <c r="GL68" s="3">
        <f t="shared" si="63"/>
        <v>0</v>
      </c>
      <c r="GM68" s="3">
        <f t="shared" si="63"/>
        <v>0</v>
      </c>
      <c r="GN68" s="3">
        <f t="shared" si="63"/>
        <v>0</v>
      </c>
      <c r="GO68" s="3">
        <f t="shared" si="63"/>
        <v>0</v>
      </c>
      <c r="GP68" s="3">
        <f t="shared" si="63"/>
        <v>0</v>
      </c>
      <c r="GQ68" s="3">
        <f t="shared" si="63"/>
        <v>0</v>
      </c>
      <c r="GR68" s="3">
        <f t="shared" si="63"/>
        <v>0</v>
      </c>
      <c r="GS68" s="3">
        <f t="shared" si="63"/>
        <v>0</v>
      </c>
      <c r="GT68" s="3">
        <f t="shared" si="63"/>
        <v>0</v>
      </c>
      <c r="GU68" s="3">
        <f t="shared" si="63"/>
        <v>0</v>
      </c>
      <c r="GV68" s="3">
        <f t="shared" si="63"/>
        <v>0</v>
      </c>
      <c r="GW68" s="3">
        <f t="shared" si="63"/>
        <v>0</v>
      </c>
      <c r="GX68" s="3">
        <f t="shared" si="63"/>
        <v>0</v>
      </c>
    </row>
    <row r="70" spans="1:245" x14ac:dyDescent="0.2">
      <c r="A70">
        <v>17</v>
      </c>
      <c r="B70">
        <v>1</v>
      </c>
      <c r="C70">
        <f>ROW(SmtRes!A15)</f>
        <v>15</v>
      </c>
      <c r="D70">
        <f>ROW(EtalonRes!A16)</f>
        <v>16</v>
      </c>
      <c r="E70" t="s">
        <v>108</v>
      </c>
      <c r="F70" t="s">
        <v>109</v>
      </c>
      <c r="G70" t="s">
        <v>110</v>
      </c>
      <c r="H70" t="s">
        <v>111</v>
      </c>
      <c r="I70">
        <v>1</v>
      </c>
      <c r="J70">
        <v>0</v>
      </c>
      <c r="O70">
        <f>ROUND(CP70,2)</f>
        <v>19902.45</v>
      </c>
      <c r="P70">
        <f>ROUND(CQ70*I70,2)</f>
        <v>2195.1999999999998</v>
      </c>
      <c r="Q70">
        <f>ROUND(CR70*I70,2)</f>
        <v>4644.8500000000004</v>
      </c>
      <c r="R70">
        <f>ROUND(CS70*I70,2)</f>
        <v>2653.32</v>
      </c>
      <c r="S70">
        <f>ROUND(CT70*I70,2)</f>
        <v>13062.4</v>
      </c>
      <c r="T70">
        <f>ROUND(CU70*I70,2)</f>
        <v>0</v>
      </c>
      <c r="U70">
        <f>CV70*I70</f>
        <v>42.717599999999997</v>
      </c>
      <c r="V70">
        <f>CW70*I70</f>
        <v>0</v>
      </c>
      <c r="W70">
        <f>ROUND(CX70*I70,2)</f>
        <v>0</v>
      </c>
      <c r="X70">
        <f t="shared" ref="X70:Y72" si="64">ROUND(CY70,2)</f>
        <v>11756.16</v>
      </c>
      <c r="Y70">
        <f t="shared" si="64"/>
        <v>5616.83</v>
      </c>
      <c r="AA70">
        <v>36226623</v>
      </c>
      <c r="AB70">
        <f>ROUND((AC70+AD70+AF70),2)</f>
        <v>1357.29</v>
      </c>
      <c r="AC70">
        <f t="shared" ref="AC70:AF72" si="65">ROUND((ES70),2)</f>
        <v>392</v>
      </c>
      <c r="AD70">
        <f t="shared" si="65"/>
        <v>450.39</v>
      </c>
      <c r="AE70">
        <f t="shared" si="65"/>
        <v>104.59</v>
      </c>
      <c r="AF70">
        <f t="shared" si="65"/>
        <v>514.9</v>
      </c>
      <c r="AG70">
        <f>ROUND((AP70),2)</f>
        <v>0</v>
      </c>
      <c r="AH70">
        <f t="shared" ref="AH70:AI72" si="66">(EW70)</f>
        <v>40.799999999999997</v>
      </c>
      <c r="AI70">
        <f t="shared" si="66"/>
        <v>0</v>
      </c>
      <c r="AJ70">
        <f>(AS70)</f>
        <v>0</v>
      </c>
      <c r="AK70">
        <v>1357.29</v>
      </c>
      <c r="AL70">
        <v>392</v>
      </c>
      <c r="AM70">
        <v>450.39</v>
      </c>
      <c r="AN70">
        <v>104.59</v>
      </c>
      <c r="AO70">
        <v>514.9</v>
      </c>
      <c r="AP70">
        <v>0</v>
      </c>
      <c r="AQ70">
        <v>40.799999999999997</v>
      </c>
      <c r="AR70">
        <v>0</v>
      </c>
      <c r="AS70">
        <v>0</v>
      </c>
      <c r="AT70">
        <v>90</v>
      </c>
      <c r="AU70">
        <v>43</v>
      </c>
      <c r="AV70">
        <v>1.0469999999999999</v>
      </c>
      <c r="AW70">
        <v>1</v>
      </c>
      <c r="AZ70">
        <v>1</v>
      </c>
      <c r="BA70">
        <v>24.23</v>
      </c>
      <c r="BB70">
        <v>9.85</v>
      </c>
      <c r="BC70">
        <v>5.6</v>
      </c>
      <c r="BD70" t="s">
        <v>3</v>
      </c>
      <c r="BE70" t="s">
        <v>3</v>
      </c>
      <c r="BF70" t="s">
        <v>3</v>
      </c>
      <c r="BG70" t="s">
        <v>3</v>
      </c>
      <c r="BH70">
        <v>0</v>
      </c>
      <c r="BI70">
        <v>2</v>
      </c>
      <c r="BJ70" t="s">
        <v>112</v>
      </c>
      <c r="BM70">
        <v>317</v>
      </c>
      <c r="BN70">
        <v>0</v>
      </c>
      <c r="BO70" t="s">
        <v>109</v>
      </c>
      <c r="BP70">
        <v>1</v>
      </c>
      <c r="BQ70">
        <v>40</v>
      </c>
      <c r="BR70">
        <v>0</v>
      </c>
      <c r="BS70">
        <v>24.23</v>
      </c>
      <c r="BT70">
        <v>1</v>
      </c>
      <c r="BU70">
        <v>1</v>
      </c>
      <c r="BV70">
        <v>1</v>
      </c>
      <c r="BW70">
        <v>1</v>
      </c>
      <c r="BX70">
        <v>1</v>
      </c>
      <c r="BY70" t="s">
        <v>3</v>
      </c>
      <c r="BZ70">
        <v>90</v>
      </c>
      <c r="CA70">
        <v>43</v>
      </c>
      <c r="CE70">
        <v>0</v>
      </c>
      <c r="CF70">
        <v>0</v>
      </c>
      <c r="CG70">
        <v>0</v>
      </c>
      <c r="CM70">
        <v>0</v>
      </c>
      <c r="CN70" t="s">
        <v>3</v>
      </c>
      <c r="CO70">
        <v>0</v>
      </c>
      <c r="CP70">
        <f>(P70+Q70+S70)</f>
        <v>19902.45</v>
      </c>
      <c r="CQ70">
        <f>(AC70*BC70*AW70)</f>
        <v>2195.1999999999998</v>
      </c>
      <c r="CR70">
        <f>(AD70*BB70*AV70)</f>
        <v>4644.8495504999992</v>
      </c>
      <c r="CS70">
        <f>(AE70*BS70*AV70)</f>
        <v>2653.3238378999999</v>
      </c>
      <c r="CT70">
        <f>(AF70*BA70*AV70)</f>
        <v>13062.400269</v>
      </c>
      <c r="CU70">
        <f>AG70</f>
        <v>0</v>
      </c>
      <c r="CV70">
        <f>(AH70*AV70)</f>
        <v>42.717599999999997</v>
      </c>
      <c r="CW70">
        <f t="shared" ref="CW70:CX72" si="67">AI70</f>
        <v>0</v>
      </c>
      <c r="CX70">
        <f t="shared" si="67"/>
        <v>0</v>
      </c>
      <c r="CY70">
        <f>S70*(BZ70/100)</f>
        <v>11756.16</v>
      </c>
      <c r="CZ70">
        <f>S70*(CA70/100)</f>
        <v>5616.8319999999994</v>
      </c>
      <c r="DC70" t="s">
        <v>3</v>
      </c>
      <c r="DD70" t="s">
        <v>3</v>
      </c>
      <c r="DE70" t="s">
        <v>3</v>
      </c>
      <c r="DF70" t="s">
        <v>3</v>
      </c>
      <c r="DG70" t="s">
        <v>3</v>
      </c>
      <c r="DH70" t="s">
        <v>3</v>
      </c>
      <c r="DI70" t="s">
        <v>3</v>
      </c>
      <c r="DJ70" t="s">
        <v>3</v>
      </c>
      <c r="DK70" t="s">
        <v>3</v>
      </c>
      <c r="DL70" t="s">
        <v>3</v>
      </c>
      <c r="DM70" t="s">
        <v>3</v>
      </c>
      <c r="DN70">
        <v>112</v>
      </c>
      <c r="DO70">
        <v>70</v>
      </c>
      <c r="DP70">
        <v>1.0469999999999999</v>
      </c>
      <c r="DQ70">
        <v>1</v>
      </c>
      <c r="DU70">
        <v>1013</v>
      </c>
      <c r="DV70" t="s">
        <v>111</v>
      </c>
      <c r="DW70" t="s">
        <v>111</v>
      </c>
      <c r="DX70">
        <v>1</v>
      </c>
      <c r="EE70">
        <v>31686094</v>
      </c>
      <c r="EF70">
        <v>40</v>
      </c>
      <c r="EG70" t="s">
        <v>113</v>
      </c>
      <c r="EH70">
        <v>0</v>
      </c>
      <c r="EI70" t="s">
        <v>3</v>
      </c>
      <c r="EJ70">
        <v>2</v>
      </c>
      <c r="EK70">
        <v>317</v>
      </c>
      <c r="EL70" t="s">
        <v>114</v>
      </c>
      <c r="EM70" t="s">
        <v>115</v>
      </c>
      <c r="EO70" t="s">
        <v>3</v>
      </c>
      <c r="EQ70">
        <v>0</v>
      </c>
      <c r="ER70">
        <v>1357.29</v>
      </c>
      <c r="ES70">
        <v>392</v>
      </c>
      <c r="ET70">
        <v>450.39</v>
      </c>
      <c r="EU70">
        <v>104.59</v>
      </c>
      <c r="EV70">
        <v>514.9</v>
      </c>
      <c r="EW70">
        <v>40.799999999999997</v>
      </c>
      <c r="EX70">
        <v>0</v>
      </c>
      <c r="EY70">
        <v>0</v>
      </c>
      <c r="FQ70">
        <v>0</v>
      </c>
      <c r="FR70">
        <f>ROUND(IF(AND(BH70=3,BI70=3),P70,0),2)</f>
        <v>0</v>
      </c>
      <c r="FS70">
        <v>0</v>
      </c>
      <c r="FX70">
        <v>112</v>
      </c>
      <c r="FY70">
        <v>70</v>
      </c>
      <c r="GA70" t="s">
        <v>3</v>
      </c>
      <c r="GD70">
        <v>0</v>
      </c>
      <c r="GF70">
        <v>-1066154874</v>
      </c>
      <c r="GG70">
        <v>2</v>
      </c>
      <c r="GH70">
        <v>1</v>
      </c>
      <c r="GI70">
        <v>2</v>
      </c>
      <c r="GJ70">
        <v>0</v>
      </c>
      <c r="GK70">
        <f>ROUND(R70*(R12)/100,2)</f>
        <v>4165.71</v>
      </c>
      <c r="GL70">
        <f>ROUND(IF(AND(BH70=3,BI70=3,FS70&lt;&gt;0),P70,0),2)</f>
        <v>0</v>
      </c>
      <c r="GM70">
        <f>ROUND(O70+X70+Y70+GK70,2)+GX70</f>
        <v>41441.15</v>
      </c>
      <c r="GN70">
        <f>IF(OR(BI70=0,BI70=1),ROUND(O70+X70+Y70+GK70,2),0)</f>
        <v>0</v>
      </c>
      <c r="GO70">
        <f>IF(BI70=2,ROUND(O70+X70+Y70+GK70,2),0)</f>
        <v>41441.15</v>
      </c>
      <c r="GP70">
        <f>IF(BI70=4,ROUND(O70+X70+Y70+GK70,2)+GX70,0)</f>
        <v>0</v>
      </c>
      <c r="GR70">
        <v>0</v>
      </c>
      <c r="GS70">
        <v>3</v>
      </c>
      <c r="GT70">
        <v>0</v>
      </c>
      <c r="GU70" t="s">
        <v>3</v>
      </c>
      <c r="GV70">
        <f>ROUND((GT70),2)</f>
        <v>0</v>
      </c>
      <c r="GW70">
        <v>1</v>
      </c>
      <c r="GX70">
        <f>ROUND(HC70*I70,2)</f>
        <v>0</v>
      </c>
      <c r="HA70">
        <v>0</v>
      </c>
      <c r="HB70">
        <v>0</v>
      </c>
      <c r="HC70">
        <f>GV70*GW70</f>
        <v>0</v>
      </c>
      <c r="IK70">
        <v>0</v>
      </c>
    </row>
    <row r="71" spans="1:245" x14ac:dyDescent="0.2">
      <c r="A71">
        <v>17</v>
      </c>
      <c r="B71">
        <v>1</v>
      </c>
      <c r="C71">
        <f>ROW(SmtRes!A16)</f>
        <v>16</v>
      </c>
      <c r="D71">
        <f>ROW(EtalonRes!A17)</f>
        <v>17</v>
      </c>
      <c r="E71" t="s">
        <v>116</v>
      </c>
      <c r="F71" t="s">
        <v>117</v>
      </c>
      <c r="G71" t="s">
        <v>118</v>
      </c>
      <c r="H71" t="s">
        <v>34</v>
      </c>
      <c r="I71">
        <f>ROUND(3190/1000,9)</f>
        <v>3.19</v>
      </c>
      <c r="J71">
        <v>0</v>
      </c>
      <c r="O71">
        <f>ROUND(CP71,2)</f>
        <v>8088.37</v>
      </c>
      <c r="P71">
        <f>ROUND(CQ71*I71,2)</f>
        <v>0</v>
      </c>
      <c r="Q71">
        <f>ROUND(CR71*I71,2)</f>
        <v>5735.86</v>
      </c>
      <c r="R71">
        <f>ROUND(CS71*I71,2)</f>
        <v>3071.71</v>
      </c>
      <c r="S71">
        <f>ROUND(CT71*I71,2)</f>
        <v>2352.5100000000002</v>
      </c>
      <c r="T71">
        <f>ROUND(CU71*I71,2)</f>
        <v>0</v>
      </c>
      <c r="U71">
        <f>CV71*I71</f>
        <v>9.5010321999999992</v>
      </c>
      <c r="V71">
        <f>CW71*I71</f>
        <v>0</v>
      </c>
      <c r="W71">
        <f>ROUND(CX71*I71,2)</f>
        <v>0</v>
      </c>
      <c r="X71">
        <f t="shared" si="64"/>
        <v>2117.2600000000002</v>
      </c>
      <c r="Y71">
        <f t="shared" si="64"/>
        <v>1011.58</v>
      </c>
      <c r="AA71">
        <v>36226623</v>
      </c>
      <c r="AB71">
        <f>ROUND((AC71+AD71+AF71),2)</f>
        <v>204.35</v>
      </c>
      <c r="AC71">
        <f t="shared" si="65"/>
        <v>0</v>
      </c>
      <c r="AD71">
        <f t="shared" si="65"/>
        <v>176.35</v>
      </c>
      <c r="AE71">
        <f t="shared" si="65"/>
        <v>36.56</v>
      </c>
      <c r="AF71">
        <f t="shared" si="65"/>
        <v>28</v>
      </c>
      <c r="AG71">
        <f>ROUND((AP71),2)</f>
        <v>0</v>
      </c>
      <c r="AH71">
        <f t="shared" si="66"/>
        <v>2.74</v>
      </c>
      <c r="AI71">
        <f t="shared" si="66"/>
        <v>0</v>
      </c>
      <c r="AJ71">
        <f>(AS71)</f>
        <v>0</v>
      </c>
      <c r="AK71">
        <v>204.35</v>
      </c>
      <c r="AL71">
        <v>0</v>
      </c>
      <c r="AM71">
        <v>176.35</v>
      </c>
      <c r="AN71">
        <v>36.56</v>
      </c>
      <c r="AO71">
        <v>28</v>
      </c>
      <c r="AP71">
        <v>0</v>
      </c>
      <c r="AQ71">
        <v>2.74</v>
      </c>
      <c r="AR71">
        <v>0</v>
      </c>
      <c r="AS71">
        <v>0</v>
      </c>
      <c r="AT71">
        <v>90</v>
      </c>
      <c r="AU71">
        <v>43</v>
      </c>
      <c r="AV71">
        <v>1.087</v>
      </c>
      <c r="AW71">
        <v>1</v>
      </c>
      <c r="AZ71">
        <v>1</v>
      </c>
      <c r="BA71">
        <v>24.23</v>
      </c>
      <c r="BB71">
        <v>9.3800000000000008</v>
      </c>
      <c r="BC71">
        <v>1</v>
      </c>
      <c r="BD71" t="s">
        <v>3</v>
      </c>
      <c r="BE71" t="s">
        <v>3</v>
      </c>
      <c r="BF71" t="s">
        <v>3</v>
      </c>
      <c r="BG71" t="s">
        <v>3</v>
      </c>
      <c r="BH71">
        <v>0</v>
      </c>
      <c r="BI71">
        <v>2</v>
      </c>
      <c r="BJ71" t="s">
        <v>119</v>
      </c>
      <c r="BM71">
        <v>326</v>
      </c>
      <c r="BN71">
        <v>0</v>
      </c>
      <c r="BO71" t="s">
        <v>117</v>
      </c>
      <c r="BP71">
        <v>1</v>
      </c>
      <c r="BQ71">
        <v>40</v>
      </c>
      <c r="BR71">
        <v>0</v>
      </c>
      <c r="BS71">
        <v>24.23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90</v>
      </c>
      <c r="CA71">
        <v>43</v>
      </c>
      <c r="CE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>(P71+Q71+S71)</f>
        <v>8088.37</v>
      </c>
      <c r="CQ71">
        <f>(AC71*BC71*AW71)</f>
        <v>0</v>
      </c>
      <c r="CR71">
        <f>(AD71*BB71*AV71)</f>
        <v>1798.0751809999999</v>
      </c>
      <c r="CS71">
        <f>(AE71*BS71*AV71)</f>
        <v>962.91764560000013</v>
      </c>
      <c r="CT71">
        <f>(AF71*BA71*AV71)</f>
        <v>737.46428000000003</v>
      </c>
      <c r="CU71">
        <f>AG71</f>
        <v>0</v>
      </c>
      <c r="CV71">
        <f>(AH71*AV71)</f>
        <v>2.97838</v>
      </c>
      <c r="CW71">
        <f t="shared" si="67"/>
        <v>0</v>
      </c>
      <c r="CX71">
        <f t="shared" si="67"/>
        <v>0</v>
      </c>
      <c r="CY71">
        <f>S71*(BZ71/100)</f>
        <v>2117.2590000000005</v>
      </c>
      <c r="CZ71">
        <f>S71*(CA71/100)</f>
        <v>1011.5793000000001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112</v>
      </c>
      <c r="DO71">
        <v>70</v>
      </c>
      <c r="DP71">
        <v>1.087</v>
      </c>
      <c r="DQ71">
        <v>1</v>
      </c>
      <c r="DU71">
        <v>1013</v>
      </c>
      <c r="DV71" t="s">
        <v>34</v>
      </c>
      <c r="DW71" t="s">
        <v>34</v>
      </c>
      <c r="DX71">
        <v>1</v>
      </c>
      <c r="EE71">
        <v>31686103</v>
      </c>
      <c r="EF71">
        <v>40</v>
      </c>
      <c r="EG71" t="s">
        <v>113</v>
      </c>
      <c r="EH71">
        <v>0</v>
      </c>
      <c r="EI71" t="s">
        <v>3</v>
      </c>
      <c r="EJ71">
        <v>2</v>
      </c>
      <c r="EK71">
        <v>326</v>
      </c>
      <c r="EL71" t="s">
        <v>120</v>
      </c>
      <c r="EM71" t="s">
        <v>121</v>
      </c>
      <c r="EO71" t="s">
        <v>3</v>
      </c>
      <c r="EQ71">
        <v>0</v>
      </c>
      <c r="ER71">
        <v>204.35</v>
      </c>
      <c r="ES71">
        <v>0</v>
      </c>
      <c r="ET71">
        <v>176.35</v>
      </c>
      <c r="EU71">
        <v>36.56</v>
      </c>
      <c r="EV71">
        <v>28</v>
      </c>
      <c r="EW71">
        <v>2.74</v>
      </c>
      <c r="EX71">
        <v>0</v>
      </c>
      <c r="EY71">
        <v>0</v>
      </c>
      <c r="FQ71">
        <v>0</v>
      </c>
      <c r="FR71">
        <f>ROUND(IF(AND(BH71=3,BI71=3),P71,0),2)</f>
        <v>0</v>
      </c>
      <c r="FS71">
        <v>0</v>
      </c>
      <c r="FX71">
        <v>112</v>
      </c>
      <c r="FY71">
        <v>70</v>
      </c>
      <c r="GA71" t="s">
        <v>3</v>
      </c>
      <c r="GD71">
        <v>0</v>
      </c>
      <c r="GF71">
        <v>142247067</v>
      </c>
      <c r="GG71">
        <v>2</v>
      </c>
      <c r="GH71">
        <v>1</v>
      </c>
      <c r="GI71">
        <v>2</v>
      </c>
      <c r="GJ71">
        <v>0</v>
      </c>
      <c r="GK71">
        <f>ROUND(R71*(R12)/100,2)</f>
        <v>4822.58</v>
      </c>
      <c r="GL71">
        <f>ROUND(IF(AND(BH71=3,BI71=3,FS71&lt;&gt;0),P71,0),2)</f>
        <v>0</v>
      </c>
      <c r="GM71">
        <f>ROUND(O71+X71+Y71+GK71,2)+GX71</f>
        <v>16039.79</v>
      </c>
      <c r="GN71">
        <f>IF(OR(BI71=0,BI71=1),ROUND(O71+X71+Y71+GK71,2),0)</f>
        <v>0</v>
      </c>
      <c r="GO71">
        <f>IF(BI71=2,ROUND(O71+X71+Y71+GK71,2),0)</f>
        <v>16039.79</v>
      </c>
      <c r="GP71">
        <f>IF(BI71=4,ROUND(O71+X71+Y71+GK71,2)+GX71,0)</f>
        <v>0</v>
      </c>
      <c r="GR71">
        <v>0</v>
      </c>
      <c r="GS71">
        <v>0</v>
      </c>
      <c r="GT71">
        <v>0</v>
      </c>
      <c r="GU71" t="s">
        <v>3</v>
      </c>
      <c r="GV71">
        <f>ROUND((GT71),2)</f>
        <v>0</v>
      </c>
      <c r="GW71">
        <v>1</v>
      </c>
      <c r="GX71">
        <f>ROUND(HC71*I71,2)</f>
        <v>0</v>
      </c>
      <c r="HA71">
        <v>0</v>
      </c>
      <c r="HB71">
        <v>0</v>
      </c>
      <c r="HC71">
        <f>GV71*GW71</f>
        <v>0</v>
      </c>
      <c r="IK71">
        <v>0</v>
      </c>
    </row>
    <row r="72" spans="1:245" x14ac:dyDescent="0.2">
      <c r="A72">
        <v>17</v>
      </c>
      <c r="B72">
        <v>1</v>
      </c>
      <c r="E72" t="s">
        <v>122</v>
      </c>
      <c r="F72" t="s">
        <v>123</v>
      </c>
      <c r="G72" t="s">
        <v>124</v>
      </c>
      <c r="H72" t="s">
        <v>42</v>
      </c>
      <c r="I72">
        <f>ROUND(I71,9)</f>
        <v>3.19</v>
      </c>
      <c r="J72">
        <v>0</v>
      </c>
      <c r="O72">
        <f>ROUND(CP72,2)</f>
        <v>184382.13</v>
      </c>
      <c r="P72">
        <f>ROUND(CQ72*I72,2)</f>
        <v>184382.13</v>
      </c>
      <c r="Q72">
        <f>ROUND(CR72*I72,2)</f>
        <v>0</v>
      </c>
      <c r="R72">
        <f>ROUND(CS72*I72,2)</f>
        <v>0</v>
      </c>
      <c r="S72">
        <f>ROUND(CT72*I72,2)</f>
        <v>0</v>
      </c>
      <c r="T72">
        <f>ROUND(CU72*I72,2)</f>
        <v>0</v>
      </c>
      <c r="U72">
        <f>CV72*I72</f>
        <v>0</v>
      </c>
      <c r="V72">
        <f>CW72*I72</f>
        <v>0</v>
      </c>
      <c r="W72">
        <f>ROUND(CX72*I72,2)</f>
        <v>0</v>
      </c>
      <c r="X72">
        <f t="shared" si="64"/>
        <v>0</v>
      </c>
      <c r="Y72">
        <f t="shared" si="64"/>
        <v>0</v>
      </c>
      <c r="AA72">
        <v>36226623</v>
      </c>
      <c r="AB72">
        <f>ROUND((AC72+AD72+AF72),2)</f>
        <v>10358.43</v>
      </c>
      <c r="AC72">
        <f t="shared" si="65"/>
        <v>10358.43</v>
      </c>
      <c r="AD72">
        <f t="shared" si="65"/>
        <v>0</v>
      </c>
      <c r="AE72">
        <f t="shared" si="65"/>
        <v>0</v>
      </c>
      <c r="AF72">
        <f t="shared" si="65"/>
        <v>0</v>
      </c>
      <c r="AG72">
        <f>ROUND((AP72),2)</f>
        <v>0</v>
      </c>
      <c r="AH72">
        <f t="shared" si="66"/>
        <v>0</v>
      </c>
      <c r="AI72">
        <f t="shared" si="66"/>
        <v>0</v>
      </c>
      <c r="AJ72">
        <f>(AS72)</f>
        <v>0</v>
      </c>
      <c r="AK72">
        <v>10358.43</v>
      </c>
      <c r="AL72">
        <v>10358.43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1</v>
      </c>
      <c r="AW72">
        <v>1</v>
      </c>
      <c r="AZ72">
        <v>1</v>
      </c>
      <c r="BA72">
        <v>1</v>
      </c>
      <c r="BB72">
        <v>1</v>
      </c>
      <c r="BC72">
        <v>5.58</v>
      </c>
      <c r="BD72" t="s">
        <v>3</v>
      </c>
      <c r="BE72" t="s">
        <v>3</v>
      </c>
      <c r="BF72" t="s">
        <v>3</v>
      </c>
      <c r="BG72" t="s">
        <v>3</v>
      </c>
      <c r="BH72">
        <v>3</v>
      </c>
      <c r="BI72">
        <v>1</v>
      </c>
      <c r="BJ72" t="s">
        <v>3</v>
      </c>
      <c r="BM72">
        <v>400002</v>
      </c>
      <c r="BN72">
        <v>0</v>
      </c>
      <c r="BO72" t="s">
        <v>125</v>
      </c>
      <c r="BP72">
        <v>1</v>
      </c>
      <c r="BQ72">
        <v>202</v>
      </c>
      <c r="BR72">
        <v>0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Y72" t="s">
        <v>3</v>
      </c>
      <c r="BZ72">
        <v>0</v>
      </c>
      <c r="CA72">
        <v>0</v>
      </c>
      <c r="CE72">
        <v>0</v>
      </c>
      <c r="CF72">
        <v>0</v>
      </c>
      <c r="CG72">
        <v>0</v>
      </c>
      <c r="CM72">
        <v>0</v>
      </c>
      <c r="CN72" t="s">
        <v>3</v>
      </c>
      <c r="CO72">
        <v>0</v>
      </c>
      <c r="CP72">
        <f>(P72+Q72+S72)</f>
        <v>184382.13</v>
      </c>
      <c r="CQ72">
        <f>(AC72*BC72*AW72)</f>
        <v>57800.039400000001</v>
      </c>
      <c r="CR72">
        <f>(AD72*BB72*AV72)</f>
        <v>0</v>
      </c>
      <c r="CS72">
        <f>(AE72*BS72*AV72)</f>
        <v>0</v>
      </c>
      <c r="CT72">
        <f>(AF72*BA72*AV72)</f>
        <v>0</v>
      </c>
      <c r="CU72">
        <f>AG72</f>
        <v>0</v>
      </c>
      <c r="CV72">
        <f>(AH72*AV72)</f>
        <v>0</v>
      </c>
      <c r="CW72">
        <f t="shared" si="67"/>
        <v>0</v>
      </c>
      <c r="CX72">
        <f t="shared" si="67"/>
        <v>0</v>
      </c>
      <c r="CY72">
        <f>S72*(BZ72/100)</f>
        <v>0</v>
      </c>
      <c r="CZ72">
        <f>S72*(CA72/100)</f>
        <v>0</v>
      </c>
      <c r="DC72" t="s">
        <v>3</v>
      </c>
      <c r="DD72" t="s">
        <v>3</v>
      </c>
      <c r="DE72" t="s">
        <v>3</v>
      </c>
      <c r="DF72" t="s">
        <v>3</v>
      </c>
      <c r="DG72" t="s">
        <v>3</v>
      </c>
      <c r="DH72" t="s">
        <v>3</v>
      </c>
      <c r="DI72" t="s">
        <v>3</v>
      </c>
      <c r="DJ72" t="s">
        <v>3</v>
      </c>
      <c r="DK72" t="s">
        <v>3</v>
      </c>
      <c r="DL72" t="s">
        <v>3</v>
      </c>
      <c r="DM72" t="s">
        <v>3</v>
      </c>
      <c r="DN72">
        <v>0</v>
      </c>
      <c r="DO72">
        <v>0</v>
      </c>
      <c r="DP72">
        <v>1</v>
      </c>
      <c r="DQ72">
        <v>1</v>
      </c>
      <c r="DU72">
        <v>1009</v>
      </c>
      <c r="DV72" t="s">
        <v>42</v>
      </c>
      <c r="DW72" t="s">
        <v>42</v>
      </c>
      <c r="DX72">
        <v>1000</v>
      </c>
      <c r="EE72">
        <v>31687787</v>
      </c>
      <c r="EF72">
        <v>202</v>
      </c>
      <c r="EG72" t="s">
        <v>126</v>
      </c>
      <c r="EH72">
        <v>0</v>
      </c>
      <c r="EI72" t="s">
        <v>3</v>
      </c>
      <c r="EJ72">
        <v>1</v>
      </c>
      <c r="EK72">
        <v>400002</v>
      </c>
      <c r="EL72" t="s">
        <v>127</v>
      </c>
      <c r="EM72" t="s">
        <v>126</v>
      </c>
      <c r="EO72" t="s">
        <v>3</v>
      </c>
      <c r="EQ72">
        <v>0</v>
      </c>
      <c r="ER72">
        <v>10358.43</v>
      </c>
      <c r="ES72">
        <v>10358.43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5</v>
      </c>
      <c r="FC72">
        <v>1</v>
      </c>
      <c r="FD72">
        <v>18</v>
      </c>
      <c r="FF72">
        <v>68000</v>
      </c>
      <c r="FQ72">
        <v>0</v>
      </c>
      <c r="FR72">
        <f>ROUND(IF(AND(BH72=3,BI72=3),P72,0),2)</f>
        <v>0</v>
      </c>
      <c r="FS72">
        <v>0</v>
      </c>
      <c r="FX72">
        <v>0</v>
      </c>
      <c r="FY72">
        <v>0</v>
      </c>
      <c r="GA72" t="s">
        <v>128</v>
      </c>
      <c r="GD72">
        <v>0</v>
      </c>
      <c r="GF72">
        <v>1989815421</v>
      </c>
      <c r="GG72">
        <v>2</v>
      </c>
      <c r="GH72">
        <v>3</v>
      </c>
      <c r="GI72">
        <v>5</v>
      </c>
      <c r="GJ72">
        <v>0</v>
      </c>
      <c r="GK72">
        <f>ROUND(R72*(R12)/100,2)</f>
        <v>0</v>
      </c>
      <c r="GL72">
        <f>ROUND(IF(AND(BH72=3,BI72=3,FS72&lt;&gt;0),P72,0),2)</f>
        <v>0</v>
      </c>
      <c r="GM72">
        <f>ROUND(O72+X72+Y72+GK72,2)+GX72</f>
        <v>184382.13</v>
      </c>
      <c r="GN72">
        <f>IF(OR(BI72=0,BI72=1),ROUND(O72+X72+Y72+GK72,2),0)</f>
        <v>184382.13</v>
      </c>
      <c r="GO72">
        <f>IF(BI72=2,ROUND(O72+X72+Y72+GK72,2),0)</f>
        <v>0</v>
      </c>
      <c r="GP72">
        <f>IF(BI72=4,ROUND(O72+X72+Y72+GK72,2)+GX72,0)</f>
        <v>0</v>
      </c>
      <c r="GR72">
        <v>1</v>
      </c>
      <c r="GS72">
        <v>1</v>
      </c>
      <c r="GT72">
        <v>0</v>
      </c>
      <c r="GU72" t="s">
        <v>3</v>
      </c>
      <c r="GV72">
        <f>ROUND((GT72),2)</f>
        <v>0</v>
      </c>
      <c r="GW72">
        <v>1</v>
      </c>
      <c r="GX72">
        <f>ROUND(HC72*I72,2)</f>
        <v>0</v>
      </c>
      <c r="HA72">
        <v>0</v>
      </c>
      <c r="HB72">
        <v>0</v>
      </c>
      <c r="HC72">
        <f>GV72*GW72</f>
        <v>0</v>
      </c>
      <c r="IK72">
        <v>0</v>
      </c>
    </row>
    <row r="74" spans="1:245" x14ac:dyDescent="0.2">
      <c r="A74" s="2">
        <v>51</v>
      </c>
      <c r="B74" s="2">
        <f>B66</f>
        <v>1</v>
      </c>
      <c r="C74" s="2">
        <f>A66</f>
        <v>4</v>
      </c>
      <c r="D74" s="2">
        <f>ROW(A66)</f>
        <v>66</v>
      </c>
      <c r="E74" s="2"/>
      <c r="F74" s="2" t="str">
        <f>IF(F66&lt;&gt;"",F66,"")</f>
        <v>2</v>
      </c>
      <c r="G74" s="2" t="str">
        <f>IF(G66&lt;&gt;"",G66,"")</f>
        <v>Демонтажные работы</v>
      </c>
      <c r="H74" s="2">
        <v>0</v>
      </c>
      <c r="I74" s="2"/>
      <c r="J74" s="2"/>
      <c r="K74" s="2"/>
      <c r="L74" s="2"/>
      <c r="M74" s="2"/>
      <c r="N74" s="2"/>
      <c r="O74" s="2">
        <f t="shared" ref="O74:T74" si="68">ROUND(AB74,2)</f>
        <v>212372.95</v>
      </c>
      <c r="P74" s="2">
        <f t="shared" si="68"/>
        <v>186577.33</v>
      </c>
      <c r="Q74" s="2">
        <f t="shared" si="68"/>
        <v>10380.709999999999</v>
      </c>
      <c r="R74" s="2">
        <f t="shared" si="68"/>
        <v>5725.03</v>
      </c>
      <c r="S74" s="2">
        <f t="shared" si="68"/>
        <v>15414.91</v>
      </c>
      <c r="T74" s="2">
        <f t="shared" si="68"/>
        <v>0</v>
      </c>
      <c r="U74" s="2">
        <f>AH74</f>
        <v>52.218632199999995</v>
      </c>
      <c r="V74" s="2">
        <f>AI74</f>
        <v>0</v>
      </c>
      <c r="W74" s="2">
        <f>ROUND(AJ74,2)</f>
        <v>0</v>
      </c>
      <c r="X74" s="2">
        <f>ROUND(AK74,2)</f>
        <v>13873.42</v>
      </c>
      <c r="Y74" s="2">
        <f>ROUND(AL74,2)</f>
        <v>6628.41</v>
      </c>
      <c r="Z74" s="2"/>
      <c r="AA74" s="2"/>
      <c r="AB74" s="2">
        <f>ROUND(SUMIF(AA70:AA72,"=36226623",O70:O72),2)</f>
        <v>212372.95</v>
      </c>
      <c r="AC74" s="2">
        <f>ROUND(SUMIF(AA70:AA72,"=36226623",P70:P72),2)</f>
        <v>186577.33</v>
      </c>
      <c r="AD74" s="2">
        <f>ROUND(SUMIF(AA70:AA72,"=36226623",Q70:Q72),2)</f>
        <v>10380.709999999999</v>
      </c>
      <c r="AE74" s="2">
        <f>ROUND(SUMIF(AA70:AA72,"=36226623",R70:R72),2)</f>
        <v>5725.03</v>
      </c>
      <c r="AF74" s="2">
        <f>ROUND(SUMIF(AA70:AA72,"=36226623",S70:S72),2)</f>
        <v>15414.91</v>
      </c>
      <c r="AG74" s="2">
        <f>ROUND(SUMIF(AA70:AA72,"=36226623",T70:T72),2)</f>
        <v>0</v>
      </c>
      <c r="AH74" s="2">
        <f>SUMIF(AA70:AA72,"=36226623",U70:U72)</f>
        <v>52.218632199999995</v>
      </c>
      <c r="AI74" s="2">
        <f>SUMIF(AA70:AA72,"=36226623",V70:V72)</f>
        <v>0</v>
      </c>
      <c r="AJ74" s="2">
        <f>ROUND(SUMIF(AA70:AA72,"=36226623",W70:W72),2)</f>
        <v>0</v>
      </c>
      <c r="AK74" s="2">
        <f>ROUND(SUMIF(AA70:AA72,"=36226623",X70:X72),2)</f>
        <v>13873.42</v>
      </c>
      <c r="AL74" s="2">
        <f>ROUND(SUMIF(AA70:AA72,"=36226623",Y70:Y72),2)</f>
        <v>6628.41</v>
      </c>
      <c r="AM74" s="2"/>
      <c r="AN74" s="2"/>
      <c r="AO74" s="2">
        <f t="shared" ref="AO74:BD74" si="69">ROUND(BX74,2)</f>
        <v>0</v>
      </c>
      <c r="AP74" s="2">
        <f t="shared" si="69"/>
        <v>0</v>
      </c>
      <c r="AQ74" s="2">
        <f t="shared" si="69"/>
        <v>0</v>
      </c>
      <c r="AR74" s="2">
        <f t="shared" si="69"/>
        <v>241863.07</v>
      </c>
      <c r="AS74" s="2">
        <f t="shared" si="69"/>
        <v>184382.13</v>
      </c>
      <c r="AT74" s="2">
        <f t="shared" si="69"/>
        <v>57480.94</v>
      </c>
      <c r="AU74" s="2">
        <f t="shared" si="69"/>
        <v>0</v>
      </c>
      <c r="AV74" s="2">
        <f t="shared" si="69"/>
        <v>186577.33</v>
      </c>
      <c r="AW74" s="2">
        <f t="shared" si="69"/>
        <v>186577.33</v>
      </c>
      <c r="AX74" s="2">
        <f t="shared" si="69"/>
        <v>0</v>
      </c>
      <c r="AY74" s="2">
        <f t="shared" si="69"/>
        <v>186577.33</v>
      </c>
      <c r="AZ74" s="2">
        <f t="shared" si="69"/>
        <v>0</v>
      </c>
      <c r="BA74" s="2">
        <f t="shared" si="69"/>
        <v>0</v>
      </c>
      <c r="BB74" s="2">
        <f t="shared" si="69"/>
        <v>0</v>
      </c>
      <c r="BC74" s="2">
        <f t="shared" si="69"/>
        <v>0</v>
      </c>
      <c r="BD74" s="2">
        <f t="shared" si="69"/>
        <v>0</v>
      </c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>
        <f>ROUND(SUMIF(AA70:AA72,"=36226623",FQ70:FQ72),2)</f>
        <v>0</v>
      </c>
      <c r="BY74" s="2">
        <f>ROUND(SUMIF(AA70:AA72,"=36226623",FR70:FR72),2)</f>
        <v>0</v>
      </c>
      <c r="BZ74" s="2">
        <f>ROUND(SUMIF(AA70:AA72,"=36226623",GL70:GL72),2)</f>
        <v>0</v>
      </c>
      <c r="CA74" s="2">
        <f>ROUND(SUMIF(AA70:AA72,"=36226623",GM70:GM72),2)</f>
        <v>241863.07</v>
      </c>
      <c r="CB74" s="2">
        <f>ROUND(SUMIF(AA70:AA72,"=36226623",GN70:GN72),2)</f>
        <v>184382.13</v>
      </c>
      <c r="CC74" s="2">
        <f>ROUND(SUMIF(AA70:AA72,"=36226623",GO70:GO72),2)</f>
        <v>57480.94</v>
      </c>
      <c r="CD74" s="2">
        <f>ROUND(SUMIF(AA70:AA72,"=36226623",GP70:GP72),2)</f>
        <v>0</v>
      </c>
      <c r="CE74" s="2">
        <f>AC74-BX74</f>
        <v>186577.33</v>
      </c>
      <c r="CF74" s="2">
        <f>AC74-BY74</f>
        <v>186577.33</v>
      </c>
      <c r="CG74" s="2">
        <f>BX74-BZ74</f>
        <v>0</v>
      </c>
      <c r="CH74" s="2">
        <f>AC74-BX74-BY74+BZ74</f>
        <v>186577.33</v>
      </c>
      <c r="CI74" s="2">
        <f>BY74-BZ74</f>
        <v>0</v>
      </c>
      <c r="CJ74" s="2">
        <f>ROUND(SUMIF(AA70:AA72,"=36226623",GX70:GX72),2)</f>
        <v>0</v>
      </c>
      <c r="CK74" s="2">
        <f>ROUND(SUMIF(AA70:AA72,"=36226623",GY70:GY72),2)</f>
        <v>0</v>
      </c>
      <c r="CL74" s="2">
        <f>ROUND(SUMIF(AA70:AA72,"=36226623",GZ70:GZ72),2)</f>
        <v>0</v>
      </c>
      <c r="CM74" s="2">
        <f>ROUND(SUMIF(AA70:AA72,"=36226623",HD70:HD72),2)</f>
        <v>0</v>
      </c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>
        <v>0</v>
      </c>
    </row>
    <row r="76" spans="1:245" x14ac:dyDescent="0.2">
      <c r="A76" s="4">
        <v>50</v>
      </c>
      <c r="B76" s="4">
        <v>0</v>
      </c>
      <c r="C76" s="4">
        <v>0</v>
      </c>
      <c r="D76" s="4">
        <v>1</v>
      </c>
      <c r="E76" s="4">
        <v>201</v>
      </c>
      <c r="F76" s="4">
        <f>ROUND(Source!O74,O76)</f>
        <v>212372.95</v>
      </c>
      <c r="G76" s="4" t="s">
        <v>53</v>
      </c>
      <c r="H76" s="4" t="s">
        <v>54</v>
      </c>
      <c r="I76" s="4"/>
      <c r="J76" s="4"/>
      <c r="K76" s="4">
        <v>201</v>
      </c>
      <c r="L76" s="4">
        <v>1</v>
      </c>
      <c r="M76" s="4">
        <v>3</v>
      </c>
      <c r="N76" s="4" t="s">
        <v>3</v>
      </c>
      <c r="O76" s="4">
        <v>2</v>
      </c>
      <c r="P76" s="4"/>
      <c r="Q76" s="4"/>
      <c r="R76" s="4"/>
      <c r="S76" s="4"/>
      <c r="T76" s="4"/>
      <c r="U76" s="4"/>
      <c r="V76" s="4"/>
      <c r="W76" s="4"/>
    </row>
    <row r="77" spans="1:245" x14ac:dyDescent="0.2">
      <c r="A77" s="4">
        <v>50</v>
      </c>
      <c r="B77" s="4">
        <v>0</v>
      </c>
      <c r="C77" s="4">
        <v>0</v>
      </c>
      <c r="D77" s="4">
        <v>1</v>
      </c>
      <c r="E77" s="4">
        <v>202</v>
      </c>
      <c r="F77" s="4">
        <f>ROUND(Source!P74,O77)</f>
        <v>186577.33</v>
      </c>
      <c r="G77" s="4" t="s">
        <v>55</v>
      </c>
      <c r="H77" s="4" t="s">
        <v>56</v>
      </c>
      <c r="I77" s="4"/>
      <c r="J77" s="4"/>
      <c r="K77" s="4">
        <v>202</v>
      </c>
      <c r="L77" s="4">
        <v>2</v>
      </c>
      <c r="M77" s="4">
        <v>3</v>
      </c>
      <c r="N77" s="4" t="s">
        <v>3</v>
      </c>
      <c r="O77" s="4">
        <v>2</v>
      </c>
      <c r="P77" s="4"/>
      <c r="Q77" s="4"/>
      <c r="R77" s="4"/>
      <c r="S77" s="4"/>
      <c r="T77" s="4"/>
      <c r="U77" s="4"/>
      <c r="V77" s="4"/>
      <c r="W77" s="4"/>
    </row>
    <row r="78" spans="1:245" x14ac:dyDescent="0.2">
      <c r="A78" s="4">
        <v>50</v>
      </c>
      <c r="B78" s="4">
        <v>0</v>
      </c>
      <c r="C78" s="4">
        <v>0</v>
      </c>
      <c r="D78" s="4">
        <v>1</v>
      </c>
      <c r="E78" s="4">
        <v>222</v>
      </c>
      <c r="F78" s="4">
        <f>ROUND(Source!AO74,O78)</f>
        <v>0</v>
      </c>
      <c r="G78" s="4" t="s">
        <v>57</v>
      </c>
      <c r="H78" s="4" t="s">
        <v>58</v>
      </c>
      <c r="I78" s="4"/>
      <c r="J78" s="4"/>
      <c r="K78" s="4">
        <v>222</v>
      </c>
      <c r="L78" s="4">
        <v>3</v>
      </c>
      <c r="M78" s="4">
        <v>3</v>
      </c>
      <c r="N78" s="4" t="s">
        <v>3</v>
      </c>
      <c r="O78" s="4">
        <v>2</v>
      </c>
      <c r="P78" s="4"/>
      <c r="Q78" s="4"/>
      <c r="R78" s="4"/>
      <c r="S78" s="4"/>
      <c r="T78" s="4"/>
      <c r="U78" s="4"/>
      <c r="V78" s="4"/>
      <c r="W78" s="4"/>
    </row>
    <row r="79" spans="1:245" x14ac:dyDescent="0.2">
      <c r="A79" s="4">
        <v>50</v>
      </c>
      <c r="B79" s="4">
        <v>0</v>
      </c>
      <c r="C79" s="4">
        <v>0</v>
      </c>
      <c r="D79" s="4">
        <v>1</v>
      </c>
      <c r="E79" s="4">
        <v>225</v>
      </c>
      <c r="F79" s="4">
        <f>ROUND(Source!AV74,O79)</f>
        <v>186577.33</v>
      </c>
      <c r="G79" s="4" t="s">
        <v>59</v>
      </c>
      <c r="H79" s="4" t="s">
        <v>60</v>
      </c>
      <c r="I79" s="4"/>
      <c r="J79" s="4"/>
      <c r="K79" s="4">
        <v>225</v>
      </c>
      <c r="L79" s="4">
        <v>4</v>
      </c>
      <c r="M79" s="4">
        <v>3</v>
      </c>
      <c r="N79" s="4" t="s">
        <v>3</v>
      </c>
      <c r="O79" s="4">
        <v>2</v>
      </c>
      <c r="P79" s="4"/>
      <c r="Q79" s="4"/>
      <c r="R79" s="4"/>
      <c r="S79" s="4"/>
      <c r="T79" s="4"/>
      <c r="U79" s="4"/>
      <c r="V79" s="4"/>
      <c r="W79" s="4"/>
    </row>
    <row r="80" spans="1:245" x14ac:dyDescent="0.2">
      <c r="A80" s="4">
        <v>50</v>
      </c>
      <c r="B80" s="4">
        <v>0</v>
      </c>
      <c r="C80" s="4">
        <v>0</v>
      </c>
      <c r="D80" s="4">
        <v>1</v>
      </c>
      <c r="E80" s="4">
        <v>226</v>
      </c>
      <c r="F80" s="4">
        <f>ROUND(Source!AW74,O80)</f>
        <v>186577.33</v>
      </c>
      <c r="G80" s="4" t="s">
        <v>61</v>
      </c>
      <c r="H80" s="4" t="s">
        <v>62</v>
      </c>
      <c r="I80" s="4"/>
      <c r="J80" s="4"/>
      <c r="K80" s="4">
        <v>226</v>
      </c>
      <c r="L80" s="4">
        <v>5</v>
      </c>
      <c r="M80" s="4">
        <v>3</v>
      </c>
      <c r="N80" s="4" t="s">
        <v>3</v>
      </c>
      <c r="O80" s="4">
        <v>2</v>
      </c>
      <c r="P80" s="4"/>
      <c r="Q80" s="4"/>
      <c r="R80" s="4"/>
      <c r="S80" s="4"/>
      <c r="T80" s="4"/>
      <c r="U80" s="4"/>
      <c r="V80" s="4"/>
      <c r="W80" s="4"/>
    </row>
    <row r="81" spans="1:23" x14ac:dyDescent="0.2">
      <c r="A81" s="4">
        <v>50</v>
      </c>
      <c r="B81" s="4">
        <v>0</v>
      </c>
      <c r="C81" s="4">
        <v>0</v>
      </c>
      <c r="D81" s="4">
        <v>1</v>
      </c>
      <c r="E81" s="4">
        <v>227</v>
      </c>
      <c r="F81" s="4">
        <f>ROUND(Source!AX74,O81)</f>
        <v>0</v>
      </c>
      <c r="G81" s="4" t="s">
        <v>63</v>
      </c>
      <c r="H81" s="4" t="s">
        <v>64</v>
      </c>
      <c r="I81" s="4"/>
      <c r="J81" s="4"/>
      <c r="K81" s="4">
        <v>227</v>
      </c>
      <c r="L81" s="4">
        <v>6</v>
      </c>
      <c r="M81" s="4">
        <v>3</v>
      </c>
      <c r="N81" s="4" t="s">
        <v>3</v>
      </c>
      <c r="O81" s="4">
        <v>2</v>
      </c>
      <c r="P81" s="4"/>
      <c r="Q81" s="4"/>
      <c r="R81" s="4"/>
      <c r="S81" s="4"/>
      <c r="T81" s="4"/>
      <c r="U81" s="4"/>
      <c r="V81" s="4"/>
      <c r="W81" s="4"/>
    </row>
    <row r="82" spans="1:23" x14ac:dyDescent="0.2">
      <c r="A82" s="4">
        <v>50</v>
      </c>
      <c r="B82" s="4">
        <v>0</v>
      </c>
      <c r="C82" s="4">
        <v>0</v>
      </c>
      <c r="D82" s="4">
        <v>1</v>
      </c>
      <c r="E82" s="4">
        <v>228</v>
      </c>
      <c r="F82" s="4">
        <f>ROUND(Source!AY74,O82)</f>
        <v>186577.33</v>
      </c>
      <c r="G82" s="4" t="s">
        <v>65</v>
      </c>
      <c r="H82" s="4" t="s">
        <v>66</v>
      </c>
      <c r="I82" s="4"/>
      <c r="J82" s="4"/>
      <c r="K82" s="4">
        <v>228</v>
      </c>
      <c r="L82" s="4">
        <v>7</v>
      </c>
      <c r="M82" s="4">
        <v>3</v>
      </c>
      <c r="N82" s="4" t="s">
        <v>3</v>
      </c>
      <c r="O82" s="4">
        <v>2</v>
      </c>
      <c r="P82" s="4"/>
      <c r="Q82" s="4"/>
      <c r="R82" s="4"/>
      <c r="S82" s="4"/>
      <c r="T82" s="4"/>
      <c r="U82" s="4"/>
      <c r="V82" s="4"/>
      <c r="W82" s="4"/>
    </row>
    <row r="83" spans="1:23" x14ac:dyDescent="0.2">
      <c r="A83" s="4">
        <v>50</v>
      </c>
      <c r="B83" s="4">
        <v>0</v>
      </c>
      <c r="C83" s="4">
        <v>0</v>
      </c>
      <c r="D83" s="4">
        <v>1</v>
      </c>
      <c r="E83" s="4">
        <v>216</v>
      </c>
      <c r="F83" s="4">
        <f>ROUND(Source!AP74,O83)</f>
        <v>0</v>
      </c>
      <c r="G83" s="4" t="s">
        <v>67</v>
      </c>
      <c r="H83" s="4" t="s">
        <v>68</v>
      </c>
      <c r="I83" s="4"/>
      <c r="J83" s="4"/>
      <c r="K83" s="4">
        <v>216</v>
      </c>
      <c r="L83" s="4">
        <v>8</v>
      </c>
      <c r="M83" s="4">
        <v>3</v>
      </c>
      <c r="N83" s="4" t="s">
        <v>3</v>
      </c>
      <c r="O83" s="4">
        <v>2</v>
      </c>
      <c r="P83" s="4"/>
      <c r="Q83" s="4"/>
      <c r="R83" s="4"/>
      <c r="S83" s="4"/>
      <c r="T83" s="4"/>
      <c r="U83" s="4"/>
      <c r="V83" s="4"/>
      <c r="W83" s="4"/>
    </row>
    <row r="84" spans="1:23" x14ac:dyDescent="0.2">
      <c r="A84" s="4">
        <v>50</v>
      </c>
      <c r="B84" s="4">
        <v>0</v>
      </c>
      <c r="C84" s="4">
        <v>0</v>
      </c>
      <c r="D84" s="4">
        <v>1</v>
      </c>
      <c r="E84" s="4">
        <v>223</v>
      </c>
      <c r="F84" s="4">
        <f>ROUND(Source!AQ74,O84)</f>
        <v>0</v>
      </c>
      <c r="G84" s="4" t="s">
        <v>69</v>
      </c>
      <c r="H84" s="4" t="s">
        <v>70</v>
      </c>
      <c r="I84" s="4"/>
      <c r="J84" s="4"/>
      <c r="K84" s="4">
        <v>223</v>
      </c>
      <c r="L84" s="4">
        <v>9</v>
      </c>
      <c r="M84" s="4">
        <v>3</v>
      </c>
      <c r="N84" s="4" t="s">
        <v>3</v>
      </c>
      <c r="O84" s="4">
        <v>2</v>
      </c>
      <c r="P84" s="4"/>
      <c r="Q84" s="4"/>
      <c r="R84" s="4"/>
      <c r="S84" s="4"/>
      <c r="T84" s="4"/>
      <c r="U84" s="4"/>
      <c r="V84" s="4"/>
      <c r="W84" s="4"/>
    </row>
    <row r="85" spans="1:23" x14ac:dyDescent="0.2">
      <c r="A85" s="4">
        <v>50</v>
      </c>
      <c r="B85" s="4">
        <v>0</v>
      </c>
      <c r="C85" s="4">
        <v>0</v>
      </c>
      <c r="D85" s="4">
        <v>1</v>
      </c>
      <c r="E85" s="4">
        <v>229</v>
      </c>
      <c r="F85" s="4">
        <f>ROUND(Source!AZ74,O85)</f>
        <v>0</v>
      </c>
      <c r="G85" s="4" t="s">
        <v>71</v>
      </c>
      <c r="H85" s="4" t="s">
        <v>72</v>
      </c>
      <c r="I85" s="4"/>
      <c r="J85" s="4"/>
      <c r="K85" s="4">
        <v>229</v>
      </c>
      <c r="L85" s="4">
        <v>10</v>
      </c>
      <c r="M85" s="4">
        <v>3</v>
      </c>
      <c r="N85" s="4" t="s">
        <v>3</v>
      </c>
      <c r="O85" s="4">
        <v>2</v>
      </c>
      <c r="P85" s="4"/>
      <c r="Q85" s="4"/>
      <c r="R85" s="4"/>
      <c r="S85" s="4"/>
      <c r="T85" s="4"/>
      <c r="U85" s="4"/>
      <c r="V85" s="4"/>
      <c r="W85" s="4"/>
    </row>
    <row r="86" spans="1:23" x14ac:dyDescent="0.2">
      <c r="A86" s="4">
        <v>50</v>
      </c>
      <c r="B86" s="4">
        <v>0</v>
      </c>
      <c r="C86" s="4">
        <v>0</v>
      </c>
      <c r="D86" s="4">
        <v>1</v>
      </c>
      <c r="E86" s="4">
        <v>203</v>
      </c>
      <c r="F86" s="4">
        <f>ROUND(Source!Q74,O86)</f>
        <v>10380.709999999999</v>
      </c>
      <c r="G86" s="4" t="s">
        <v>73</v>
      </c>
      <c r="H86" s="4" t="s">
        <v>74</v>
      </c>
      <c r="I86" s="4"/>
      <c r="J86" s="4"/>
      <c r="K86" s="4">
        <v>203</v>
      </c>
      <c r="L86" s="4">
        <v>11</v>
      </c>
      <c r="M86" s="4">
        <v>3</v>
      </c>
      <c r="N86" s="4" t="s">
        <v>3</v>
      </c>
      <c r="O86" s="4">
        <v>2</v>
      </c>
      <c r="P86" s="4"/>
      <c r="Q86" s="4"/>
      <c r="R86" s="4"/>
      <c r="S86" s="4"/>
      <c r="T86" s="4"/>
      <c r="U86" s="4"/>
      <c r="V86" s="4"/>
      <c r="W86" s="4"/>
    </row>
    <row r="87" spans="1:23" x14ac:dyDescent="0.2">
      <c r="A87" s="4">
        <v>50</v>
      </c>
      <c r="B87" s="4">
        <v>0</v>
      </c>
      <c r="C87" s="4">
        <v>0</v>
      </c>
      <c r="D87" s="4">
        <v>1</v>
      </c>
      <c r="E87" s="4">
        <v>231</v>
      </c>
      <c r="F87" s="4">
        <f>ROUND(Source!BB74,O87)</f>
        <v>0</v>
      </c>
      <c r="G87" s="4" t="s">
        <v>75</v>
      </c>
      <c r="H87" s="4" t="s">
        <v>76</v>
      </c>
      <c r="I87" s="4"/>
      <c r="J87" s="4"/>
      <c r="K87" s="4">
        <v>231</v>
      </c>
      <c r="L87" s="4">
        <v>12</v>
      </c>
      <c r="M87" s="4">
        <v>3</v>
      </c>
      <c r="N87" s="4" t="s">
        <v>3</v>
      </c>
      <c r="O87" s="4">
        <v>2</v>
      </c>
      <c r="P87" s="4"/>
      <c r="Q87" s="4"/>
      <c r="R87" s="4"/>
      <c r="S87" s="4"/>
      <c r="T87" s="4"/>
      <c r="U87" s="4"/>
      <c r="V87" s="4"/>
      <c r="W87" s="4"/>
    </row>
    <row r="88" spans="1:23" x14ac:dyDescent="0.2">
      <c r="A88" s="4">
        <v>50</v>
      </c>
      <c r="B88" s="4">
        <v>0</v>
      </c>
      <c r="C88" s="4">
        <v>0</v>
      </c>
      <c r="D88" s="4">
        <v>1</v>
      </c>
      <c r="E88" s="4">
        <v>204</v>
      </c>
      <c r="F88" s="4">
        <f>ROUND(Source!R74,O88)</f>
        <v>5725.03</v>
      </c>
      <c r="G88" s="4" t="s">
        <v>77</v>
      </c>
      <c r="H88" s="4" t="s">
        <v>78</v>
      </c>
      <c r="I88" s="4"/>
      <c r="J88" s="4"/>
      <c r="K88" s="4">
        <v>204</v>
      </c>
      <c r="L88" s="4">
        <v>13</v>
      </c>
      <c r="M88" s="4">
        <v>3</v>
      </c>
      <c r="N88" s="4" t="s">
        <v>3</v>
      </c>
      <c r="O88" s="4">
        <v>2</v>
      </c>
      <c r="P88" s="4"/>
      <c r="Q88" s="4"/>
      <c r="R88" s="4"/>
      <c r="S88" s="4"/>
      <c r="T88" s="4"/>
      <c r="U88" s="4"/>
      <c r="V88" s="4"/>
      <c r="W88" s="4"/>
    </row>
    <row r="89" spans="1:23" x14ac:dyDescent="0.2">
      <c r="A89" s="4">
        <v>50</v>
      </c>
      <c r="B89" s="4">
        <v>0</v>
      </c>
      <c r="C89" s="4">
        <v>0</v>
      </c>
      <c r="D89" s="4">
        <v>1</v>
      </c>
      <c r="E89" s="4">
        <v>205</v>
      </c>
      <c r="F89" s="4">
        <f>ROUND(Source!S74,O89)</f>
        <v>15414.91</v>
      </c>
      <c r="G89" s="4" t="s">
        <v>79</v>
      </c>
      <c r="H89" s="4" t="s">
        <v>80</v>
      </c>
      <c r="I89" s="4"/>
      <c r="J89" s="4"/>
      <c r="K89" s="4">
        <v>205</v>
      </c>
      <c r="L89" s="4">
        <v>14</v>
      </c>
      <c r="M89" s="4">
        <v>3</v>
      </c>
      <c r="N89" s="4" t="s">
        <v>3</v>
      </c>
      <c r="O89" s="4">
        <v>2</v>
      </c>
      <c r="P89" s="4"/>
      <c r="Q89" s="4"/>
      <c r="R89" s="4"/>
      <c r="S89" s="4"/>
      <c r="T89" s="4"/>
      <c r="U89" s="4"/>
      <c r="V89" s="4"/>
      <c r="W89" s="4"/>
    </row>
    <row r="90" spans="1:23" x14ac:dyDescent="0.2">
      <c r="A90" s="4">
        <v>50</v>
      </c>
      <c r="B90" s="4">
        <v>0</v>
      </c>
      <c r="C90" s="4">
        <v>0</v>
      </c>
      <c r="D90" s="4">
        <v>1</v>
      </c>
      <c r="E90" s="4">
        <v>232</v>
      </c>
      <c r="F90" s="4">
        <f>ROUND(Source!BC74,O90)</f>
        <v>0</v>
      </c>
      <c r="G90" s="4" t="s">
        <v>81</v>
      </c>
      <c r="H90" s="4" t="s">
        <v>82</v>
      </c>
      <c r="I90" s="4"/>
      <c r="J90" s="4"/>
      <c r="K90" s="4">
        <v>232</v>
      </c>
      <c r="L90" s="4">
        <v>15</v>
      </c>
      <c r="M90" s="4">
        <v>3</v>
      </c>
      <c r="N90" s="4" t="s">
        <v>3</v>
      </c>
      <c r="O90" s="4">
        <v>2</v>
      </c>
      <c r="P90" s="4"/>
      <c r="Q90" s="4"/>
      <c r="R90" s="4"/>
      <c r="S90" s="4"/>
      <c r="T90" s="4"/>
      <c r="U90" s="4"/>
      <c r="V90" s="4"/>
      <c r="W90" s="4"/>
    </row>
    <row r="91" spans="1:23" x14ac:dyDescent="0.2">
      <c r="A91" s="4">
        <v>50</v>
      </c>
      <c r="B91" s="4">
        <v>0</v>
      </c>
      <c r="C91" s="4">
        <v>0</v>
      </c>
      <c r="D91" s="4">
        <v>1</v>
      </c>
      <c r="E91" s="4">
        <v>214</v>
      </c>
      <c r="F91" s="4">
        <f>ROUND(Source!AS74,O91)</f>
        <v>184382.13</v>
      </c>
      <c r="G91" s="4" t="s">
        <v>83</v>
      </c>
      <c r="H91" s="4" t="s">
        <v>84</v>
      </c>
      <c r="I91" s="4"/>
      <c r="J91" s="4"/>
      <c r="K91" s="4">
        <v>214</v>
      </c>
      <c r="L91" s="4">
        <v>16</v>
      </c>
      <c r="M91" s="4">
        <v>3</v>
      </c>
      <c r="N91" s="4" t="s">
        <v>3</v>
      </c>
      <c r="O91" s="4">
        <v>2</v>
      </c>
      <c r="P91" s="4"/>
      <c r="Q91" s="4"/>
      <c r="R91" s="4"/>
      <c r="S91" s="4"/>
      <c r="T91" s="4"/>
      <c r="U91" s="4"/>
      <c r="V91" s="4"/>
      <c r="W91" s="4"/>
    </row>
    <row r="92" spans="1:23" x14ac:dyDescent="0.2">
      <c r="A92" s="4">
        <v>50</v>
      </c>
      <c r="B92" s="4">
        <v>0</v>
      </c>
      <c r="C92" s="4">
        <v>0</v>
      </c>
      <c r="D92" s="4">
        <v>1</v>
      </c>
      <c r="E92" s="4">
        <v>215</v>
      </c>
      <c r="F92" s="4">
        <f>ROUND(Source!AT74,O92)</f>
        <v>57480.94</v>
      </c>
      <c r="G92" s="4" t="s">
        <v>85</v>
      </c>
      <c r="H92" s="4" t="s">
        <v>86</v>
      </c>
      <c r="I92" s="4"/>
      <c r="J92" s="4"/>
      <c r="K92" s="4">
        <v>215</v>
      </c>
      <c r="L92" s="4">
        <v>17</v>
      </c>
      <c r="M92" s="4">
        <v>3</v>
      </c>
      <c r="N92" s="4" t="s">
        <v>3</v>
      </c>
      <c r="O92" s="4">
        <v>2</v>
      </c>
      <c r="P92" s="4"/>
      <c r="Q92" s="4"/>
      <c r="R92" s="4"/>
      <c r="S92" s="4"/>
      <c r="T92" s="4"/>
      <c r="U92" s="4"/>
      <c r="V92" s="4"/>
      <c r="W92" s="4"/>
    </row>
    <row r="93" spans="1:23" x14ac:dyDescent="0.2">
      <c r="A93" s="4">
        <v>50</v>
      </c>
      <c r="B93" s="4">
        <v>0</v>
      </c>
      <c r="C93" s="4">
        <v>0</v>
      </c>
      <c r="D93" s="4">
        <v>1</v>
      </c>
      <c r="E93" s="4">
        <v>217</v>
      </c>
      <c r="F93" s="4">
        <f>ROUND(Source!AU74,O93)</f>
        <v>0</v>
      </c>
      <c r="G93" s="4" t="s">
        <v>87</v>
      </c>
      <c r="H93" s="4" t="s">
        <v>88</v>
      </c>
      <c r="I93" s="4"/>
      <c r="J93" s="4"/>
      <c r="K93" s="4">
        <v>217</v>
      </c>
      <c r="L93" s="4">
        <v>18</v>
      </c>
      <c r="M93" s="4">
        <v>3</v>
      </c>
      <c r="N93" s="4" t="s">
        <v>3</v>
      </c>
      <c r="O93" s="4">
        <v>2</v>
      </c>
      <c r="P93" s="4"/>
      <c r="Q93" s="4"/>
      <c r="R93" s="4"/>
      <c r="S93" s="4"/>
      <c r="T93" s="4"/>
      <c r="U93" s="4"/>
      <c r="V93" s="4"/>
      <c r="W93" s="4"/>
    </row>
    <row r="94" spans="1:23" x14ac:dyDescent="0.2">
      <c r="A94" s="4">
        <v>50</v>
      </c>
      <c r="B94" s="4">
        <v>0</v>
      </c>
      <c r="C94" s="4">
        <v>0</v>
      </c>
      <c r="D94" s="4">
        <v>1</v>
      </c>
      <c r="E94" s="4">
        <v>230</v>
      </c>
      <c r="F94" s="4">
        <f>ROUND(Source!BA74,O94)</f>
        <v>0</v>
      </c>
      <c r="G94" s="4" t="s">
        <v>89</v>
      </c>
      <c r="H94" s="4" t="s">
        <v>90</v>
      </c>
      <c r="I94" s="4"/>
      <c r="J94" s="4"/>
      <c r="K94" s="4">
        <v>230</v>
      </c>
      <c r="L94" s="4">
        <v>19</v>
      </c>
      <c r="M94" s="4">
        <v>3</v>
      </c>
      <c r="N94" s="4" t="s">
        <v>3</v>
      </c>
      <c r="O94" s="4">
        <v>2</v>
      </c>
      <c r="P94" s="4"/>
      <c r="Q94" s="4"/>
      <c r="R94" s="4"/>
      <c r="S94" s="4"/>
      <c r="T94" s="4"/>
      <c r="U94" s="4"/>
      <c r="V94" s="4"/>
      <c r="W94" s="4"/>
    </row>
    <row r="95" spans="1:23" x14ac:dyDescent="0.2">
      <c r="A95" s="4">
        <v>50</v>
      </c>
      <c r="B95" s="4">
        <v>0</v>
      </c>
      <c r="C95" s="4">
        <v>0</v>
      </c>
      <c r="D95" s="4">
        <v>1</v>
      </c>
      <c r="E95" s="4">
        <v>206</v>
      </c>
      <c r="F95" s="4">
        <f>ROUND(Source!T74,O95)</f>
        <v>0</v>
      </c>
      <c r="G95" s="4" t="s">
        <v>91</v>
      </c>
      <c r="H95" s="4" t="s">
        <v>92</v>
      </c>
      <c r="I95" s="4"/>
      <c r="J95" s="4"/>
      <c r="K95" s="4">
        <v>206</v>
      </c>
      <c r="L95" s="4">
        <v>20</v>
      </c>
      <c r="M95" s="4">
        <v>3</v>
      </c>
      <c r="N95" s="4" t="s">
        <v>3</v>
      </c>
      <c r="O95" s="4">
        <v>2</v>
      </c>
      <c r="P95" s="4"/>
      <c r="Q95" s="4"/>
      <c r="R95" s="4"/>
      <c r="S95" s="4"/>
      <c r="T95" s="4"/>
      <c r="U95" s="4"/>
      <c r="V95" s="4"/>
      <c r="W95" s="4"/>
    </row>
    <row r="96" spans="1:23" x14ac:dyDescent="0.2">
      <c r="A96" s="4">
        <v>50</v>
      </c>
      <c r="B96" s="4">
        <v>0</v>
      </c>
      <c r="C96" s="4">
        <v>0</v>
      </c>
      <c r="D96" s="4">
        <v>1</v>
      </c>
      <c r="E96" s="4">
        <v>207</v>
      </c>
      <c r="F96" s="4">
        <f>Source!U74</f>
        <v>52.218632199999995</v>
      </c>
      <c r="G96" s="4" t="s">
        <v>93</v>
      </c>
      <c r="H96" s="4" t="s">
        <v>94</v>
      </c>
      <c r="I96" s="4"/>
      <c r="J96" s="4"/>
      <c r="K96" s="4">
        <v>207</v>
      </c>
      <c r="L96" s="4">
        <v>21</v>
      </c>
      <c r="M96" s="4">
        <v>3</v>
      </c>
      <c r="N96" s="4" t="s">
        <v>3</v>
      </c>
      <c r="O96" s="4">
        <v>-1</v>
      </c>
      <c r="P96" s="4"/>
      <c r="Q96" s="4"/>
      <c r="R96" s="4"/>
      <c r="S96" s="4"/>
      <c r="T96" s="4"/>
      <c r="U96" s="4"/>
      <c r="V96" s="4"/>
      <c r="W96" s="4"/>
    </row>
    <row r="97" spans="1:245" x14ac:dyDescent="0.2">
      <c r="A97" s="4">
        <v>50</v>
      </c>
      <c r="B97" s="4">
        <v>0</v>
      </c>
      <c r="C97" s="4">
        <v>0</v>
      </c>
      <c r="D97" s="4">
        <v>1</v>
      </c>
      <c r="E97" s="4">
        <v>208</v>
      </c>
      <c r="F97" s="4">
        <f>Source!V74</f>
        <v>0</v>
      </c>
      <c r="G97" s="4" t="s">
        <v>95</v>
      </c>
      <c r="H97" s="4" t="s">
        <v>96</v>
      </c>
      <c r="I97" s="4"/>
      <c r="J97" s="4"/>
      <c r="K97" s="4">
        <v>208</v>
      </c>
      <c r="L97" s="4">
        <v>22</v>
      </c>
      <c r="M97" s="4">
        <v>3</v>
      </c>
      <c r="N97" s="4" t="s">
        <v>3</v>
      </c>
      <c r="O97" s="4">
        <v>-1</v>
      </c>
      <c r="P97" s="4"/>
      <c r="Q97" s="4"/>
      <c r="R97" s="4"/>
      <c r="S97" s="4"/>
      <c r="T97" s="4"/>
      <c r="U97" s="4"/>
      <c r="V97" s="4"/>
      <c r="W97" s="4"/>
    </row>
    <row r="98" spans="1:245" x14ac:dyDescent="0.2">
      <c r="A98" s="4">
        <v>50</v>
      </c>
      <c r="B98" s="4">
        <v>0</v>
      </c>
      <c r="C98" s="4">
        <v>0</v>
      </c>
      <c r="D98" s="4">
        <v>1</v>
      </c>
      <c r="E98" s="4">
        <v>209</v>
      </c>
      <c r="F98" s="4">
        <f>ROUND(Source!W74,O98)</f>
        <v>0</v>
      </c>
      <c r="G98" s="4" t="s">
        <v>97</v>
      </c>
      <c r="H98" s="4" t="s">
        <v>98</v>
      </c>
      <c r="I98" s="4"/>
      <c r="J98" s="4"/>
      <c r="K98" s="4">
        <v>209</v>
      </c>
      <c r="L98" s="4">
        <v>23</v>
      </c>
      <c r="M98" s="4">
        <v>3</v>
      </c>
      <c r="N98" s="4" t="s">
        <v>3</v>
      </c>
      <c r="O98" s="4">
        <v>2</v>
      </c>
      <c r="P98" s="4"/>
      <c r="Q98" s="4"/>
      <c r="R98" s="4"/>
      <c r="S98" s="4"/>
      <c r="T98" s="4"/>
      <c r="U98" s="4"/>
      <c r="V98" s="4"/>
      <c r="W98" s="4"/>
    </row>
    <row r="99" spans="1:245" x14ac:dyDescent="0.2">
      <c r="A99" s="4">
        <v>50</v>
      </c>
      <c r="B99" s="4">
        <v>0</v>
      </c>
      <c r="C99" s="4">
        <v>0</v>
      </c>
      <c r="D99" s="4">
        <v>1</v>
      </c>
      <c r="E99" s="4">
        <v>233</v>
      </c>
      <c r="F99" s="4">
        <f>ROUND(Source!BD74,O99)</f>
        <v>0</v>
      </c>
      <c r="G99" s="4" t="s">
        <v>99</v>
      </c>
      <c r="H99" s="4" t="s">
        <v>100</v>
      </c>
      <c r="I99" s="4"/>
      <c r="J99" s="4"/>
      <c r="K99" s="4">
        <v>233</v>
      </c>
      <c r="L99" s="4">
        <v>24</v>
      </c>
      <c r="M99" s="4">
        <v>3</v>
      </c>
      <c r="N99" s="4" t="s">
        <v>3</v>
      </c>
      <c r="O99" s="4">
        <v>2</v>
      </c>
      <c r="P99" s="4"/>
      <c r="Q99" s="4"/>
      <c r="R99" s="4"/>
      <c r="S99" s="4"/>
      <c r="T99" s="4"/>
      <c r="U99" s="4"/>
      <c r="V99" s="4"/>
      <c r="W99" s="4"/>
    </row>
    <row r="100" spans="1:245" x14ac:dyDescent="0.2">
      <c r="A100" s="4">
        <v>50</v>
      </c>
      <c r="B100" s="4">
        <v>0</v>
      </c>
      <c r="C100" s="4">
        <v>0</v>
      </c>
      <c r="D100" s="4">
        <v>1</v>
      </c>
      <c r="E100" s="4">
        <v>210</v>
      </c>
      <c r="F100" s="4">
        <f>ROUND(Source!X74,O100)</f>
        <v>13873.42</v>
      </c>
      <c r="G100" s="4" t="s">
        <v>101</v>
      </c>
      <c r="H100" s="4" t="s">
        <v>102</v>
      </c>
      <c r="I100" s="4"/>
      <c r="J100" s="4"/>
      <c r="K100" s="4">
        <v>210</v>
      </c>
      <c r="L100" s="4">
        <v>25</v>
      </c>
      <c r="M100" s="4">
        <v>3</v>
      </c>
      <c r="N100" s="4" t="s">
        <v>3</v>
      </c>
      <c r="O100" s="4">
        <v>2</v>
      </c>
      <c r="P100" s="4"/>
      <c r="Q100" s="4"/>
      <c r="R100" s="4"/>
      <c r="S100" s="4"/>
      <c r="T100" s="4"/>
      <c r="U100" s="4"/>
      <c r="V100" s="4"/>
      <c r="W100" s="4"/>
    </row>
    <row r="101" spans="1:245" x14ac:dyDescent="0.2">
      <c r="A101" s="4">
        <v>50</v>
      </c>
      <c r="B101" s="4">
        <v>0</v>
      </c>
      <c r="C101" s="4">
        <v>0</v>
      </c>
      <c r="D101" s="4">
        <v>1</v>
      </c>
      <c r="E101" s="4">
        <v>211</v>
      </c>
      <c r="F101" s="4">
        <f>ROUND(Source!Y74,O101)</f>
        <v>6628.41</v>
      </c>
      <c r="G101" s="4" t="s">
        <v>103</v>
      </c>
      <c r="H101" s="4" t="s">
        <v>104</v>
      </c>
      <c r="I101" s="4"/>
      <c r="J101" s="4"/>
      <c r="K101" s="4">
        <v>211</v>
      </c>
      <c r="L101" s="4">
        <v>26</v>
      </c>
      <c r="M101" s="4">
        <v>3</v>
      </c>
      <c r="N101" s="4" t="s">
        <v>3</v>
      </c>
      <c r="O101" s="4">
        <v>2</v>
      </c>
      <c r="P101" s="4"/>
      <c r="Q101" s="4"/>
      <c r="R101" s="4"/>
      <c r="S101" s="4"/>
      <c r="T101" s="4"/>
      <c r="U101" s="4"/>
      <c r="V101" s="4"/>
      <c r="W101" s="4"/>
    </row>
    <row r="102" spans="1:245" x14ac:dyDescent="0.2">
      <c r="A102" s="4">
        <v>50</v>
      </c>
      <c r="B102" s="4">
        <v>0</v>
      </c>
      <c r="C102" s="4">
        <v>0</v>
      </c>
      <c r="D102" s="4">
        <v>1</v>
      </c>
      <c r="E102" s="4">
        <v>224</v>
      </c>
      <c r="F102" s="4">
        <f>ROUND(Source!AR74,O102)</f>
        <v>241863.07</v>
      </c>
      <c r="G102" s="4" t="s">
        <v>105</v>
      </c>
      <c r="H102" s="4" t="s">
        <v>106</v>
      </c>
      <c r="I102" s="4"/>
      <c r="J102" s="4"/>
      <c r="K102" s="4">
        <v>224</v>
      </c>
      <c r="L102" s="4">
        <v>27</v>
      </c>
      <c r="M102" s="4">
        <v>3</v>
      </c>
      <c r="N102" s="4" t="s">
        <v>3</v>
      </c>
      <c r="O102" s="4">
        <v>2</v>
      </c>
      <c r="P102" s="4"/>
      <c r="Q102" s="4"/>
      <c r="R102" s="4"/>
      <c r="S102" s="4"/>
      <c r="T102" s="4"/>
      <c r="U102" s="4"/>
      <c r="V102" s="4"/>
      <c r="W102" s="4"/>
    </row>
    <row r="104" spans="1:245" x14ac:dyDescent="0.2">
      <c r="A104" s="1">
        <v>4</v>
      </c>
      <c r="B104" s="1">
        <v>1</v>
      </c>
      <c r="C104" s="1"/>
      <c r="D104" s="1">
        <f>ROW(A116)</f>
        <v>116</v>
      </c>
      <c r="E104" s="1"/>
      <c r="F104" s="1" t="s">
        <v>31</v>
      </c>
      <c r="G104" s="1" t="s">
        <v>129</v>
      </c>
      <c r="H104" s="1" t="s">
        <v>3</v>
      </c>
      <c r="I104" s="1">
        <v>0</v>
      </c>
      <c r="J104" s="1"/>
      <c r="K104" s="1">
        <v>-1</v>
      </c>
      <c r="L104" s="1"/>
      <c r="M104" s="1"/>
      <c r="N104" s="1"/>
      <c r="O104" s="1"/>
      <c r="P104" s="1"/>
      <c r="Q104" s="1"/>
      <c r="R104" s="1"/>
      <c r="S104" s="1"/>
      <c r="T104" s="1"/>
      <c r="U104" s="1" t="s">
        <v>3</v>
      </c>
      <c r="V104" s="1">
        <v>0</v>
      </c>
      <c r="W104" s="1"/>
      <c r="X104" s="1"/>
      <c r="Y104" s="1"/>
      <c r="Z104" s="1"/>
      <c r="AA104" s="1"/>
      <c r="AB104" s="1" t="s">
        <v>3</v>
      </c>
      <c r="AC104" s="1" t="s">
        <v>3</v>
      </c>
      <c r="AD104" s="1" t="s">
        <v>3</v>
      </c>
      <c r="AE104" s="1" t="s">
        <v>3</v>
      </c>
      <c r="AF104" s="1" t="s">
        <v>3</v>
      </c>
      <c r="AG104" s="1" t="s">
        <v>3</v>
      </c>
      <c r="AH104" s="1"/>
      <c r="AI104" s="1"/>
      <c r="AJ104" s="1"/>
      <c r="AK104" s="1"/>
      <c r="AL104" s="1"/>
      <c r="AM104" s="1"/>
      <c r="AN104" s="1"/>
      <c r="AO104" s="1"/>
      <c r="AP104" s="1" t="s">
        <v>3</v>
      </c>
      <c r="AQ104" s="1" t="s">
        <v>3</v>
      </c>
      <c r="AR104" s="1" t="s">
        <v>3</v>
      </c>
      <c r="AS104" s="1"/>
      <c r="AT104" s="1"/>
      <c r="AU104" s="1"/>
      <c r="AV104" s="1"/>
      <c r="AW104" s="1"/>
      <c r="AX104" s="1"/>
      <c r="AY104" s="1"/>
      <c r="AZ104" s="1" t="s">
        <v>3</v>
      </c>
      <c r="BA104" s="1"/>
      <c r="BB104" s="1" t="s">
        <v>3</v>
      </c>
      <c r="BC104" s="1" t="s">
        <v>3</v>
      </c>
      <c r="BD104" s="1" t="s">
        <v>3</v>
      </c>
      <c r="BE104" s="1" t="s">
        <v>3</v>
      </c>
      <c r="BF104" s="1" t="s">
        <v>3</v>
      </c>
      <c r="BG104" s="1" t="s">
        <v>3</v>
      </c>
      <c r="BH104" s="1" t="s">
        <v>3</v>
      </c>
      <c r="BI104" s="1" t="s">
        <v>3</v>
      </c>
      <c r="BJ104" s="1" t="s">
        <v>3</v>
      </c>
      <c r="BK104" s="1" t="s">
        <v>3</v>
      </c>
      <c r="BL104" s="1" t="s">
        <v>3</v>
      </c>
      <c r="BM104" s="1" t="s">
        <v>3</v>
      </c>
      <c r="BN104" s="1" t="s">
        <v>3</v>
      </c>
      <c r="BO104" s="1" t="s">
        <v>3</v>
      </c>
      <c r="BP104" s="1" t="s">
        <v>3</v>
      </c>
      <c r="BQ104" s="1"/>
      <c r="BR104" s="1"/>
      <c r="BS104" s="1"/>
      <c r="BT104" s="1"/>
      <c r="BU104" s="1"/>
      <c r="BV104" s="1"/>
      <c r="BW104" s="1"/>
      <c r="BX104" s="1">
        <v>0</v>
      </c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>
        <v>0</v>
      </c>
    </row>
    <row r="106" spans="1:245" x14ac:dyDescent="0.2">
      <c r="A106" s="2">
        <v>52</v>
      </c>
      <c r="B106" s="2">
        <f t="shared" ref="B106:G106" si="70">B116</f>
        <v>1</v>
      </c>
      <c r="C106" s="2">
        <f t="shared" si="70"/>
        <v>4</v>
      </c>
      <c r="D106" s="2">
        <f t="shared" si="70"/>
        <v>104</v>
      </c>
      <c r="E106" s="2">
        <f t="shared" si="70"/>
        <v>0</v>
      </c>
      <c r="F106" s="2" t="str">
        <f t="shared" si="70"/>
        <v>3</v>
      </c>
      <c r="G106" s="2" t="str">
        <f t="shared" si="70"/>
        <v>Монтажные работы</v>
      </c>
      <c r="H106" s="2"/>
      <c r="I106" s="2"/>
      <c r="J106" s="2"/>
      <c r="K106" s="2"/>
      <c r="L106" s="2"/>
      <c r="M106" s="2"/>
      <c r="N106" s="2"/>
      <c r="O106" s="2">
        <f t="shared" ref="O106:AT106" si="71">O116</f>
        <v>388767.51</v>
      </c>
      <c r="P106" s="2">
        <f t="shared" si="71"/>
        <v>367384.65</v>
      </c>
      <c r="Q106" s="2">
        <f t="shared" si="71"/>
        <v>4794.92</v>
      </c>
      <c r="R106" s="2">
        <f t="shared" si="71"/>
        <v>2766.57</v>
      </c>
      <c r="S106" s="2">
        <f t="shared" si="71"/>
        <v>16587.939999999999</v>
      </c>
      <c r="T106" s="2">
        <f t="shared" si="71"/>
        <v>0</v>
      </c>
      <c r="U106" s="2">
        <f t="shared" si="71"/>
        <v>54.452375999999994</v>
      </c>
      <c r="V106" s="2">
        <f t="shared" si="71"/>
        <v>0</v>
      </c>
      <c r="W106" s="2">
        <f t="shared" si="71"/>
        <v>0</v>
      </c>
      <c r="X106" s="2">
        <f t="shared" si="71"/>
        <v>14929.15</v>
      </c>
      <c r="Y106" s="2">
        <f t="shared" si="71"/>
        <v>7132.81</v>
      </c>
      <c r="Z106" s="2">
        <f t="shared" si="71"/>
        <v>0</v>
      </c>
      <c r="AA106" s="2">
        <f t="shared" si="71"/>
        <v>0</v>
      </c>
      <c r="AB106" s="2">
        <f t="shared" si="71"/>
        <v>388767.51</v>
      </c>
      <c r="AC106" s="2">
        <f t="shared" si="71"/>
        <v>367384.65</v>
      </c>
      <c r="AD106" s="2">
        <f t="shared" si="71"/>
        <v>4794.92</v>
      </c>
      <c r="AE106" s="2">
        <f t="shared" si="71"/>
        <v>2766.57</v>
      </c>
      <c r="AF106" s="2">
        <f t="shared" si="71"/>
        <v>16587.939999999999</v>
      </c>
      <c r="AG106" s="2">
        <f t="shared" si="71"/>
        <v>0</v>
      </c>
      <c r="AH106" s="2">
        <f t="shared" si="71"/>
        <v>54.452375999999994</v>
      </c>
      <c r="AI106" s="2">
        <f t="shared" si="71"/>
        <v>0</v>
      </c>
      <c r="AJ106" s="2">
        <f t="shared" si="71"/>
        <v>0</v>
      </c>
      <c r="AK106" s="2">
        <f t="shared" si="71"/>
        <v>14929.15</v>
      </c>
      <c r="AL106" s="2">
        <f t="shared" si="71"/>
        <v>7132.81</v>
      </c>
      <c r="AM106" s="2">
        <f t="shared" si="71"/>
        <v>0</v>
      </c>
      <c r="AN106" s="2">
        <f t="shared" si="71"/>
        <v>0</v>
      </c>
      <c r="AO106" s="2">
        <f t="shared" si="71"/>
        <v>0</v>
      </c>
      <c r="AP106" s="2">
        <f t="shared" si="71"/>
        <v>355271.01</v>
      </c>
      <c r="AQ106" s="2">
        <f t="shared" si="71"/>
        <v>0</v>
      </c>
      <c r="AR106" s="2">
        <f t="shared" si="71"/>
        <v>415172.98</v>
      </c>
      <c r="AS106" s="2">
        <f t="shared" si="71"/>
        <v>3894.73</v>
      </c>
      <c r="AT106" s="2">
        <f t="shared" si="71"/>
        <v>56007.24</v>
      </c>
      <c r="AU106" s="2">
        <f t="shared" ref="AU106:BZ106" si="72">AU116</f>
        <v>0</v>
      </c>
      <c r="AV106" s="2">
        <f t="shared" si="72"/>
        <v>367384.65</v>
      </c>
      <c r="AW106" s="2">
        <f t="shared" si="72"/>
        <v>12113.64</v>
      </c>
      <c r="AX106" s="2">
        <f t="shared" si="72"/>
        <v>0</v>
      </c>
      <c r="AY106" s="2">
        <f t="shared" si="72"/>
        <v>12113.64</v>
      </c>
      <c r="AZ106" s="2">
        <f t="shared" si="72"/>
        <v>355271.01</v>
      </c>
      <c r="BA106" s="2">
        <f t="shared" si="72"/>
        <v>0</v>
      </c>
      <c r="BB106" s="2">
        <f t="shared" si="72"/>
        <v>0</v>
      </c>
      <c r="BC106" s="2">
        <f t="shared" si="72"/>
        <v>0</v>
      </c>
      <c r="BD106" s="2">
        <f t="shared" si="72"/>
        <v>0</v>
      </c>
      <c r="BE106" s="2">
        <f t="shared" si="72"/>
        <v>0</v>
      </c>
      <c r="BF106" s="2">
        <f t="shared" si="72"/>
        <v>0</v>
      </c>
      <c r="BG106" s="2">
        <f t="shared" si="72"/>
        <v>0</v>
      </c>
      <c r="BH106" s="2">
        <f t="shared" si="72"/>
        <v>0</v>
      </c>
      <c r="BI106" s="2">
        <f t="shared" si="72"/>
        <v>0</v>
      </c>
      <c r="BJ106" s="2">
        <f t="shared" si="72"/>
        <v>0</v>
      </c>
      <c r="BK106" s="2">
        <f t="shared" si="72"/>
        <v>0</v>
      </c>
      <c r="BL106" s="2">
        <f t="shared" si="72"/>
        <v>0</v>
      </c>
      <c r="BM106" s="2">
        <f t="shared" si="72"/>
        <v>0</v>
      </c>
      <c r="BN106" s="2">
        <f t="shared" si="72"/>
        <v>0</v>
      </c>
      <c r="BO106" s="2">
        <f t="shared" si="72"/>
        <v>0</v>
      </c>
      <c r="BP106" s="2">
        <f t="shared" si="72"/>
        <v>0</v>
      </c>
      <c r="BQ106" s="2">
        <f t="shared" si="72"/>
        <v>0</v>
      </c>
      <c r="BR106" s="2">
        <f t="shared" si="72"/>
        <v>0</v>
      </c>
      <c r="BS106" s="2">
        <f t="shared" si="72"/>
        <v>0</v>
      </c>
      <c r="BT106" s="2">
        <f t="shared" si="72"/>
        <v>0</v>
      </c>
      <c r="BU106" s="2">
        <f t="shared" si="72"/>
        <v>0</v>
      </c>
      <c r="BV106" s="2">
        <f t="shared" si="72"/>
        <v>0</v>
      </c>
      <c r="BW106" s="2">
        <f t="shared" si="72"/>
        <v>0</v>
      </c>
      <c r="BX106" s="2">
        <f t="shared" si="72"/>
        <v>0</v>
      </c>
      <c r="BY106" s="2">
        <f t="shared" si="72"/>
        <v>355271.01</v>
      </c>
      <c r="BZ106" s="2">
        <f t="shared" si="72"/>
        <v>0</v>
      </c>
      <c r="CA106" s="2">
        <f t="shared" ref="CA106:DF106" si="73">CA116</f>
        <v>415172.98</v>
      </c>
      <c r="CB106" s="2">
        <f t="shared" si="73"/>
        <v>3894.73</v>
      </c>
      <c r="CC106" s="2">
        <f t="shared" si="73"/>
        <v>56007.24</v>
      </c>
      <c r="CD106" s="2">
        <f t="shared" si="73"/>
        <v>0</v>
      </c>
      <c r="CE106" s="2">
        <f t="shared" si="73"/>
        <v>367384.65</v>
      </c>
      <c r="CF106" s="2">
        <f t="shared" si="73"/>
        <v>12113.640000000014</v>
      </c>
      <c r="CG106" s="2">
        <f t="shared" si="73"/>
        <v>0</v>
      </c>
      <c r="CH106" s="2">
        <f t="shared" si="73"/>
        <v>12113.640000000014</v>
      </c>
      <c r="CI106" s="2">
        <f t="shared" si="73"/>
        <v>355271.01</v>
      </c>
      <c r="CJ106" s="2">
        <f t="shared" si="73"/>
        <v>0</v>
      </c>
      <c r="CK106" s="2">
        <f t="shared" si="73"/>
        <v>0</v>
      </c>
      <c r="CL106" s="2">
        <f t="shared" si="73"/>
        <v>0</v>
      </c>
      <c r="CM106" s="2">
        <f t="shared" si="73"/>
        <v>0</v>
      </c>
      <c r="CN106" s="2">
        <f t="shared" si="73"/>
        <v>0</v>
      </c>
      <c r="CO106" s="2">
        <f t="shared" si="73"/>
        <v>0</v>
      </c>
      <c r="CP106" s="2">
        <f t="shared" si="73"/>
        <v>0</v>
      </c>
      <c r="CQ106" s="2">
        <f t="shared" si="73"/>
        <v>0</v>
      </c>
      <c r="CR106" s="2">
        <f t="shared" si="73"/>
        <v>0</v>
      </c>
      <c r="CS106" s="2">
        <f t="shared" si="73"/>
        <v>0</v>
      </c>
      <c r="CT106" s="2">
        <f t="shared" si="73"/>
        <v>0</v>
      </c>
      <c r="CU106" s="2">
        <f t="shared" si="73"/>
        <v>0</v>
      </c>
      <c r="CV106" s="2">
        <f t="shared" si="73"/>
        <v>0</v>
      </c>
      <c r="CW106" s="2">
        <f t="shared" si="73"/>
        <v>0</v>
      </c>
      <c r="CX106" s="2">
        <f t="shared" si="73"/>
        <v>0</v>
      </c>
      <c r="CY106" s="2">
        <f t="shared" si="73"/>
        <v>0</v>
      </c>
      <c r="CZ106" s="2">
        <f t="shared" si="73"/>
        <v>0</v>
      </c>
      <c r="DA106" s="2">
        <f t="shared" si="73"/>
        <v>0</v>
      </c>
      <c r="DB106" s="2">
        <f t="shared" si="73"/>
        <v>0</v>
      </c>
      <c r="DC106" s="2">
        <f t="shared" si="73"/>
        <v>0</v>
      </c>
      <c r="DD106" s="2">
        <f t="shared" si="73"/>
        <v>0</v>
      </c>
      <c r="DE106" s="2">
        <f t="shared" si="73"/>
        <v>0</v>
      </c>
      <c r="DF106" s="2">
        <f t="shared" si="73"/>
        <v>0</v>
      </c>
      <c r="DG106" s="3">
        <f t="shared" ref="DG106:EL106" si="74">DG116</f>
        <v>0</v>
      </c>
      <c r="DH106" s="3">
        <f t="shared" si="74"/>
        <v>0</v>
      </c>
      <c r="DI106" s="3">
        <f t="shared" si="74"/>
        <v>0</v>
      </c>
      <c r="DJ106" s="3">
        <f t="shared" si="74"/>
        <v>0</v>
      </c>
      <c r="DK106" s="3">
        <f t="shared" si="74"/>
        <v>0</v>
      </c>
      <c r="DL106" s="3">
        <f t="shared" si="74"/>
        <v>0</v>
      </c>
      <c r="DM106" s="3">
        <f t="shared" si="74"/>
        <v>0</v>
      </c>
      <c r="DN106" s="3">
        <f t="shared" si="74"/>
        <v>0</v>
      </c>
      <c r="DO106" s="3">
        <f t="shared" si="74"/>
        <v>0</v>
      </c>
      <c r="DP106" s="3">
        <f t="shared" si="74"/>
        <v>0</v>
      </c>
      <c r="DQ106" s="3">
        <f t="shared" si="74"/>
        <v>0</v>
      </c>
      <c r="DR106" s="3">
        <f t="shared" si="74"/>
        <v>0</v>
      </c>
      <c r="DS106" s="3">
        <f t="shared" si="74"/>
        <v>0</v>
      </c>
      <c r="DT106" s="3">
        <f t="shared" si="74"/>
        <v>0</v>
      </c>
      <c r="DU106" s="3">
        <f t="shared" si="74"/>
        <v>0</v>
      </c>
      <c r="DV106" s="3">
        <f t="shared" si="74"/>
        <v>0</v>
      </c>
      <c r="DW106" s="3">
        <f t="shared" si="74"/>
        <v>0</v>
      </c>
      <c r="DX106" s="3">
        <f t="shared" si="74"/>
        <v>0</v>
      </c>
      <c r="DY106" s="3">
        <f t="shared" si="74"/>
        <v>0</v>
      </c>
      <c r="DZ106" s="3">
        <f t="shared" si="74"/>
        <v>0</v>
      </c>
      <c r="EA106" s="3">
        <f t="shared" si="74"/>
        <v>0</v>
      </c>
      <c r="EB106" s="3">
        <f t="shared" si="74"/>
        <v>0</v>
      </c>
      <c r="EC106" s="3">
        <f t="shared" si="74"/>
        <v>0</v>
      </c>
      <c r="ED106" s="3">
        <f t="shared" si="74"/>
        <v>0</v>
      </c>
      <c r="EE106" s="3">
        <f t="shared" si="74"/>
        <v>0</v>
      </c>
      <c r="EF106" s="3">
        <f t="shared" si="74"/>
        <v>0</v>
      </c>
      <c r="EG106" s="3">
        <f t="shared" si="74"/>
        <v>0</v>
      </c>
      <c r="EH106" s="3">
        <f t="shared" si="74"/>
        <v>0</v>
      </c>
      <c r="EI106" s="3">
        <f t="shared" si="74"/>
        <v>0</v>
      </c>
      <c r="EJ106" s="3">
        <f t="shared" si="74"/>
        <v>0</v>
      </c>
      <c r="EK106" s="3">
        <f t="shared" si="74"/>
        <v>0</v>
      </c>
      <c r="EL106" s="3">
        <f t="shared" si="74"/>
        <v>0</v>
      </c>
      <c r="EM106" s="3">
        <f t="shared" ref="EM106:FR106" si="75">EM116</f>
        <v>0</v>
      </c>
      <c r="EN106" s="3">
        <f t="shared" si="75"/>
        <v>0</v>
      </c>
      <c r="EO106" s="3">
        <f t="shared" si="75"/>
        <v>0</v>
      </c>
      <c r="EP106" s="3">
        <f t="shared" si="75"/>
        <v>0</v>
      </c>
      <c r="EQ106" s="3">
        <f t="shared" si="75"/>
        <v>0</v>
      </c>
      <c r="ER106" s="3">
        <f t="shared" si="75"/>
        <v>0</v>
      </c>
      <c r="ES106" s="3">
        <f t="shared" si="75"/>
        <v>0</v>
      </c>
      <c r="ET106" s="3">
        <f t="shared" si="75"/>
        <v>0</v>
      </c>
      <c r="EU106" s="3">
        <f t="shared" si="75"/>
        <v>0</v>
      </c>
      <c r="EV106" s="3">
        <f t="shared" si="75"/>
        <v>0</v>
      </c>
      <c r="EW106" s="3">
        <f t="shared" si="75"/>
        <v>0</v>
      </c>
      <c r="EX106" s="3">
        <f t="shared" si="75"/>
        <v>0</v>
      </c>
      <c r="EY106" s="3">
        <f t="shared" si="75"/>
        <v>0</v>
      </c>
      <c r="EZ106" s="3">
        <f t="shared" si="75"/>
        <v>0</v>
      </c>
      <c r="FA106" s="3">
        <f t="shared" si="75"/>
        <v>0</v>
      </c>
      <c r="FB106" s="3">
        <f t="shared" si="75"/>
        <v>0</v>
      </c>
      <c r="FC106" s="3">
        <f t="shared" si="75"/>
        <v>0</v>
      </c>
      <c r="FD106" s="3">
        <f t="shared" si="75"/>
        <v>0</v>
      </c>
      <c r="FE106" s="3">
        <f t="shared" si="75"/>
        <v>0</v>
      </c>
      <c r="FF106" s="3">
        <f t="shared" si="75"/>
        <v>0</v>
      </c>
      <c r="FG106" s="3">
        <f t="shared" si="75"/>
        <v>0</v>
      </c>
      <c r="FH106" s="3">
        <f t="shared" si="75"/>
        <v>0</v>
      </c>
      <c r="FI106" s="3">
        <f t="shared" si="75"/>
        <v>0</v>
      </c>
      <c r="FJ106" s="3">
        <f t="shared" si="75"/>
        <v>0</v>
      </c>
      <c r="FK106" s="3">
        <f t="shared" si="75"/>
        <v>0</v>
      </c>
      <c r="FL106" s="3">
        <f t="shared" si="75"/>
        <v>0</v>
      </c>
      <c r="FM106" s="3">
        <f t="shared" si="75"/>
        <v>0</v>
      </c>
      <c r="FN106" s="3">
        <f t="shared" si="75"/>
        <v>0</v>
      </c>
      <c r="FO106" s="3">
        <f t="shared" si="75"/>
        <v>0</v>
      </c>
      <c r="FP106" s="3">
        <f t="shared" si="75"/>
        <v>0</v>
      </c>
      <c r="FQ106" s="3">
        <f t="shared" si="75"/>
        <v>0</v>
      </c>
      <c r="FR106" s="3">
        <f t="shared" si="75"/>
        <v>0</v>
      </c>
      <c r="FS106" s="3">
        <f t="shared" ref="FS106:GX106" si="76">FS116</f>
        <v>0</v>
      </c>
      <c r="FT106" s="3">
        <f t="shared" si="76"/>
        <v>0</v>
      </c>
      <c r="FU106" s="3">
        <f t="shared" si="76"/>
        <v>0</v>
      </c>
      <c r="FV106" s="3">
        <f t="shared" si="76"/>
        <v>0</v>
      </c>
      <c r="FW106" s="3">
        <f t="shared" si="76"/>
        <v>0</v>
      </c>
      <c r="FX106" s="3">
        <f t="shared" si="76"/>
        <v>0</v>
      </c>
      <c r="FY106" s="3">
        <f t="shared" si="76"/>
        <v>0</v>
      </c>
      <c r="FZ106" s="3">
        <f t="shared" si="76"/>
        <v>0</v>
      </c>
      <c r="GA106" s="3">
        <f t="shared" si="76"/>
        <v>0</v>
      </c>
      <c r="GB106" s="3">
        <f t="shared" si="76"/>
        <v>0</v>
      </c>
      <c r="GC106" s="3">
        <f t="shared" si="76"/>
        <v>0</v>
      </c>
      <c r="GD106" s="3">
        <f t="shared" si="76"/>
        <v>0</v>
      </c>
      <c r="GE106" s="3">
        <f t="shared" si="76"/>
        <v>0</v>
      </c>
      <c r="GF106" s="3">
        <f t="shared" si="76"/>
        <v>0</v>
      </c>
      <c r="GG106" s="3">
        <f t="shared" si="76"/>
        <v>0</v>
      </c>
      <c r="GH106" s="3">
        <f t="shared" si="76"/>
        <v>0</v>
      </c>
      <c r="GI106" s="3">
        <f t="shared" si="76"/>
        <v>0</v>
      </c>
      <c r="GJ106" s="3">
        <f t="shared" si="76"/>
        <v>0</v>
      </c>
      <c r="GK106" s="3">
        <f t="shared" si="76"/>
        <v>0</v>
      </c>
      <c r="GL106" s="3">
        <f t="shared" si="76"/>
        <v>0</v>
      </c>
      <c r="GM106" s="3">
        <f t="shared" si="76"/>
        <v>0</v>
      </c>
      <c r="GN106" s="3">
        <f t="shared" si="76"/>
        <v>0</v>
      </c>
      <c r="GO106" s="3">
        <f t="shared" si="76"/>
        <v>0</v>
      </c>
      <c r="GP106" s="3">
        <f t="shared" si="76"/>
        <v>0</v>
      </c>
      <c r="GQ106" s="3">
        <f t="shared" si="76"/>
        <v>0</v>
      </c>
      <c r="GR106" s="3">
        <f t="shared" si="76"/>
        <v>0</v>
      </c>
      <c r="GS106" s="3">
        <f t="shared" si="76"/>
        <v>0</v>
      </c>
      <c r="GT106" s="3">
        <f t="shared" si="76"/>
        <v>0</v>
      </c>
      <c r="GU106" s="3">
        <f t="shared" si="76"/>
        <v>0</v>
      </c>
      <c r="GV106" s="3">
        <f t="shared" si="76"/>
        <v>0</v>
      </c>
      <c r="GW106" s="3">
        <f t="shared" si="76"/>
        <v>0</v>
      </c>
      <c r="GX106" s="3">
        <f t="shared" si="76"/>
        <v>0</v>
      </c>
    </row>
    <row r="108" spans="1:245" x14ac:dyDescent="0.2">
      <c r="A108">
        <v>19</v>
      </c>
      <c r="B108">
        <v>1</v>
      </c>
      <c r="F108" t="s">
        <v>3</v>
      </c>
      <c r="G108" t="s">
        <v>130</v>
      </c>
      <c r="H108" t="s">
        <v>3</v>
      </c>
      <c r="AA108">
        <v>1</v>
      </c>
      <c r="IK108">
        <v>0</v>
      </c>
    </row>
    <row r="109" spans="1:245" x14ac:dyDescent="0.2">
      <c r="A109">
        <v>17</v>
      </c>
      <c r="B109">
        <v>1</v>
      </c>
      <c r="C109">
        <f>ROW(SmtRes!A17)</f>
        <v>17</v>
      </c>
      <c r="D109">
        <f>ROW(EtalonRes!A18)</f>
        <v>18</v>
      </c>
      <c r="E109" t="s">
        <v>131</v>
      </c>
      <c r="F109" t="s">
        <v>109</v>
      </c>
      <c r="G109" t="s">
        <v>110</v>
      </c>
      <c r="H109" t="s">
        <v>111</v>
      </c>
      <c r="I109">
        <v>1</v>
      </c>
      <c r="J109">
        <v>0</v>
      </c>
      <c r="O109">
        <f t="shared" ref="O109:O114" si="77">ROUND(CP109,2)</f>
        <v>19902.45</v>
      </c>
      <c r="P109">
        <f t="shared" ref="P109:P114" si="78">ROUND(CQ109*I109,2)</f>
        <v>2195.1999999999998</v>
      </c>
      <c r="Q109">
        <f t="shared" ref="Q109:Q114" si="79">ROUND(CR109*I109,2)</f>
        <v>4644.8500000000004</v>
      </c>
      <c r="R109">
        <f t="shared" ref="R109:R114" si="80">ROUND(CS109*I109,2)</f>
        <v>2653.32</v>
      </c>
      <c r="S109">
        <f t="shared" ref="S109:S114" si="81">ROUND(CT109*I109,2)</f>
        <v>13062.4</v>
      </c>
      <c r="T109">
        <f t="shared" ref="T109:T114" si="82">ROUND(CU109*I109,2)</f>
        <v>0</v>
      </c>
      <c r="U109">
        <f t="shared" ref="U109:U114" si="83">CV109*I109</f>
        <v>42.717599999999997</v>
      </c>
      <c r="V109">
        <f t="shared" ref="V109:V114" si="84">CW109*I109</f>
        <v>0</v>
      </c>
      <c r="W109">
        <f t="shared" ref="W109:W114" si="85">ROUND(CX109*I109,2)</f>
        <v>0</v>
      </c>
      <c r="X109">
        <f t="shared" ref="X109:Y114" si="86">ROUND(CY109,2)</f>
        <v>11756.16</v>
      </c>
      <c r="Y109">
        <f t="shared" si="86"/>
        <v>5616.83</v>
      </c>
      <c r="AA109">
        <v>36226623</v>
      </c>
      <c r="AB109">
        <f t="shared" ref="AB109:AB114" si="87">ROUND((AC109+AD109+AF109),2)</f>
        <v>1357.29</v>
      </c>
      <c r="AC109">
        <f t="shared" ref="AC109:AF114" si="88">ROUND((ES109),2)</f>
        <v>392</v>
      </c>
      <c r="AD109">
        <f t="shared" si="88"/>
        <v>450.39</v>
      </c>
      <c r="AE109">
        <f t="shared" si="88"/>
        <v>104.59</v>
      </c>
      <c r="AF109">
        <f t="shared" si="88"/>
        <v>514.9</v>
      </c>
      <c r="AG109">
        <f t="shared" ref="AG109:AG114" si="89">ROUND((AP109),2)</f>
        <v>0</v>
      </c>
      <c r="AH109">
        <f t="shared" ref="AH109:AI114" si="90">(EW109)</f>
        <v>40.799999999999997</v>
      </c>
      <c r="AI109">
        <f t="shared" si="90"/>
        <v>0</v>
      </c>
      <c r="AJ109">
        <f t="shared" ref="AJ109:AJ114" si="91">(AS109)</f>
        <v>0</v>
      </c>
      <c r="AK109">
        <v>1357.29</v>
      </c>
      <c r="AL109">
        <v>392</v>
      </c>
      <c r="AM109">
        <v>450.39</v>
      </c>
      <c r="AN109">
        <v>104.59</v>
      </c>
      <c r="AO109">
        <v>514.9</v>
      </c>
      <c r="AP109">
        <v>0</v>
      </c>
      <c r="AQ109">
        <v>40.799999999999997</v>
      </c>
      <c r="AR109">
        <v>0</v>
      </c>
      <c r="AS109">
        <v>0</v>
      </c>
      <c r="AT109">
        <v>90</v>
      </c>
      <c r="AU109">
        <v>43</v>
      </c>
      <c r="AV109">
        <v>1.0469999999999999</v>
      </c>
      <c r="AW109">
        <v>1</v>
      </c>
      <c r="AZ109">
        <v>1</v>
      </c>
      <c r="BA109">
        <v>24.23</v>
      </c>
      <c r="BB109">
        <v>9.85</v>
      </c>
      <c r="BC109">
        <v>5.6</v>
      </c>
      <c r="BD109" t="s">
        <v>3</v>
      </c>
      <c r="BE109" t="s">
        <v>3</v>
      </c>
      <c r="BF109" t="s">
        <v>3</v>
      </c>
      <c r="BG109" t="s">
        <v>3</v>
      </c>
      <c r="BH109">
        <v>0</v>
      </c>
      <c r="BI109">
        <v>2</v>
      </c>
      <c r="BJ109" t="s">
        <v>112</v>
      </c>
      <c r="BM109">
        <v>317</v>
      </c>
      <c r="BN109">
        <v>0</v>
      </c>
      <c r="BO109" t="s">
        <v>109</v>
      </c>
      <c r="BP109">
        <v>1</v>
      </c>
      <c r="BQ109">
        <v>40</v>
      </c>
      <c r="BR109">
        <v>0</v>
      </c>
      <c r="BS109">
        <v>24.23</v>
      </c>
      <c r="BT109">
        <v>1</v>
      </c>
      <c r="BU109">
        <v>1</v>
      </c>
      <c r="BV109">
        <v>1</v>
      </c>
      <c r="BW109">
        <v>1</v>
      </c>
      <c r="BX109">
        <v>1</v>
      </c>
      <c r="BY109" t="s">
        <v>3</v>
      </c>
      <c r="BZ109">
        <v>90</v>
      </c>
      <c r="CA109">
        <v>43</v>
      </c>
      <c r="CE109">
        <v>0</v>
      </c>
      <c r="CF109">
        <v>0</v>
      </c>
      <c r="CG109">
        <v>0</v>
      </c>
      <c r="CM109">
        <v>0</v>
      </c>
      <c r="CN109" t="s">
        <v>3</v>
      </c>
      <c r="CO109">
        <v>0</v>
      </c>
      <c r="CP109">
        <f t="shared" ref="CP109:CP114" si="92">(P109+Q109+S109)</f>
        <v>19902.45</v>
      </c>
      <c r="CQ109">
        <f t="shared" ref="CQ109:CQ114" si="93">(AC109*BC109*AW109)</f>
        <v>2195.1999999999998</v>
      </c>
      <c r="CR109">
        <f t="shared" ref="CR109:CR114" si="94">(AD109*BB109*AV109)</f>
        <v>4644.8495504999992</v>
      </c>
      <c r="CS109">
        <f t="shared" ref="CS109:CS114" si="95">(AE109*BS109*AV109)</f>
        <v>2653.3238378999999</v>
      </c>
      <c r="CT109">
        <f t="shared" ref="CT109:CT114" si="96">(AF109*BA109*AV109)</f>
        <v>13062.400269</v>
      </c>
      <c r="CU109">
        <f t="shared" ref="CU109:CU114" si="97">AG109</f>
        <v>0</v>
      </c>
      <c r="CV109">
        <f t="shared" ref="CV109:CV114" si="98">(AH109*AV109)</f>
        <v>42.717599999999997</v>
      </c>
      <c r="CW109">
        <f t="shared" ref="CW109:CX114" si="99">AI109</f>
        <v>0</v>
      </c>
      <c r="CX109">
        <f t="shared" si="99"/>
        <v>0</v>
      </c>
      <c r="CY109">
        <f t="shared" ref="CY109:CY114" si="100">S109*(BZ109/100)</f>
        <v>11756.16</v>
      </c>
      <c r="CZ109">
        <f t="shared" ref="CZ109:CZ114" si="101">S109*(CA109/100)</f>
        <v>5616.8319999999994</v>
      </c>
      <c r="DC109" t="s">
        <v>3</v>
      </c>
      <c r="DD109" t="s">
        <v>3</v>
      </c>
      <c r="DE109" t="s">
        <v>3</v>
      </c>
      <c r="DF109" t="s">
        <v>3</v>
      </c>
      <c r="DG109" t="s">
        <v>3</v>
      </c>
      <c r="DH109" t="s">
        <v>3</v>
      </c>
      <c r="DI109" t="s">
        <v>3</v>
      </c>
      <c r="DJ109" t="s">
        <v>3</v>
      </c>
      <c r="DK109" t="s">
        <v>3</v>
      </c>
      <c r="DL109" t="s">
        <v>3</v>
      </c>
      <c r="DM109" t="s">
        <v>3</v>
      </c>
      <c r="DN109">
        <v>112</v>
      </c>
      <c r="DO109">
        <v>70</v>
      </c>
      <c r="DP109">
        <v>1.0469999999999999</v>
      </c>
      <c r="DQ109">
        <v>1</v>
      </c>
      <c r="DU109">
        <v>1013</v>
      </c>
      <c r="DV109" t="s">
        <v>111</v>
      </c>
      <c r="DW109" t="s">
        <v>111</v>
      </c>
      <c r="DX109">
        <v>1</v>
      </c>
      <c r="EE109">
        <v>31686094</v>
      </c>
      <c r="EF109">
        <v>40</v>
      </c>
      <c r="EG109" t="s">
        <v>113</v>
      </c>
      <c r="EH109">
        <v>0</v>
      </c>
      <c r="EI109" t="s">
        <v>3</v>
      </c>
      <c r="EJ109">
        <v>2</v>
      </c>
      <c r="EK109">
        <v>317</v>
      </c>
      <c r="EL109" t="s">
        <v>114</v>
      </c>
      <c r="EM109" t="s">
        <v>115</v>
      </c>
      <c r="EO109" t="s">
        <v>3</v>
      </c>
      <c r="EQ109">
        <v>0</v>
      </c>
      <c r="ER109">
        <v>1357.29</v>
      </c>
      <c r="ES109">
        <v>392</v>
      </c>
      <c r="ET109">
        <v>450.39</v>
      </c>
      <c r="EU109">
        <v>104.59</v>
      </c>
      <c r="EV109">
        <v>514.9</v>
      </c>
      <c r="EW109">
        <v>40.799999999999997</v>
      </c>
      <c r="EX109">
        <v>0</v>
      </c>
      <c r="EY109">
        <v>0</v>
      </c>
      <c r="FQ109">
        <v>0</v>
      </c>
      <c r="FR109">
        <f t="shared" ref="FR109:FR114" si="102">ROUND(IF(AND(BH109=3,BI109=3),P109,0),2)</f>
        <v>0</v>
      </c>
      <c r="FS109">
        <v>0</v>
      </c>
      <c r="FX109">
        <v>112</v>
      </c>
      <c r="FY109">
        <v>70</v>
      </c>
      <c r="GA109" t="s">
        <v>3</v>
      </c>
      <c r="GD109">
        <v>0</v>
      </c>
      <c r="GF109">
        <v>-1066154874</v>
      </c>
      <c r="GG109">
        <v>2</v>
      </c>
      <c r="GH109">
        <v>1</v>
      </c>
      <c r="GI109">
        <v>2</v>
      </c>
      <c r="GJ109">
        <v>0</v>
      </c>
      <c r="GK109">
        <f>ROUND(R109*(R12)/100,2)</f>
        <v>4165.71</v>
      </c>
      <c r="GL109">
        <f t="shared" ref="GL109:GL114" si="103">ROUND(IF(AND(BH109=3,BI109=3,FS109&lt;&gt;0),P109,0),2)</f>
        <v>0</v>
      </c>
      <c r="GM109">
        <f t="shared" ref="GM109:GM114" si="104">ROUND(O109+X109+Y109+GK109,2)+GX109</f>
        <v>41441.15</v>
      </c>
      <c r="GN109">
        <f t="shared" ref="GN109:GN114" si="105">IF(OR(BI109=0,BI109=1),ROUND(O109+X109+Y109+GK109,2),0)</f>
        <v>0</v>
      </c>
      <c r="GO109">
        <f t="shared" ref="GO109:GO114" si="106">IF(BI109=2,ROUND(O109+X109+Y109+GK109,2),0)</f>
        <v>41441.15</v>
      </c>
      <c r="GP109">
        <f t="shared" ref="GP109:GP114" si="107">IF(BI109=4,ROUND(O109+X109+Y109+GK109,2)+GX109,0)</f>
        <v>0</v>
      </c>
      <c r="GR109">
        <v>0</v>
      </c>
      <c r="GS109">
        <v>3</v>
      </c>
      <c r="GT109">
        <v>0</v>
      </c>
      <c r="GU109" t="s">
        <v>3</v>
      </c>
      <c r="GV109">
        <f t="shared" ref="GV109:GV114" si="108">ROUND((GT109),2)</f>
        <v>0</v>
      </c>
      <c r="GW109">
        <v>1</v>
      </c>
      <c r="GX109">
        <f t="shared" ref="GX109:GX114" si="109">ROUND(HC109*I109,2)</f>
        <v>0</v>
      </c>
      <c r="HA109">
        <v>0</v>
      </c>
      <c r="HB109">
        <v>0</v>
      </c>
      <c r="HC109">
        <f t="shared" ref="HC109:HC114" si="110">GV109*GW109</f>
        <v>0</v>
      </c>
      <c r="IK109">
        <v>0</v>
      </c>
    </row>
    <row r="110" spans="1:245" x14ac:dyDescent="0.2">
      <c r="A110">
        <v>17</v>
      </c>
      <c r="B110">
        <v>1</v>
      </c>
      <c r="E110" t="s">
        <v>132</v>
      </c>
      <c r="F110" t="s">
        <v>123</v>
      </c>
      <c r="G110" t="s">
        <v>133</v>
      </c>
      <c r="H110" t="s">
        <v>134</v>
      </c>
      <c r="I110">
        <v>1</v>
      </c>
      <c r="J110">
        <v>0</v>
      </c>
      <c r="O110">
        <f t="shared" si="77"/>
        <v>355271.01</v>
      </c>
      <c r="P110">
        <f t="shared" si="78"/>
        <v>355271.01</v>
      </c>
      <c r="Q110">
        <f t="shared" si="79"/>
        <v>0</v>
      </c>
      <c r="R110">
        <f t="shared" si="80"/>
        <v>0</v>
      </c>
      <c r="S110">
        <f t="shared" si="81"/>
        <v>0</v>
      </c>
      <c r="T110">
        <f t="shared" si="82"/>
        <v>0</v>
      </c>
      <c r="U110">
        <f t="shared" si="83"/>
        <v>0</v>
      </c>
      <c r="V110">
        <f t="shared" si="84"/>
        <v>0</v>
      </c>
      <c r="W110">
        <f t="shared" si="85"/>
        <v>0</v>
      </c>
      <c r="X110">
        <f t="shared" si="86"/>
        <v>0</v>
      </c>
      <c r="Y110">
        <f t="shared" si="86"/>
        <v>0</v>
      </c>
      <c r="AA110">
        <v>36226623</v>
      </c>
      <c r="AB110">
        <f t="shared" si="87"/>
        <v>77910.31</v>
      </c>
      <c r="AC110">
        <f t="shared" si="88"/>
        <v>77910.31</v>
      </c>
      <c r="AD110">
        <f t="shared" si="88"/>
        <v>0</v>
      </c>
      <c r="AE110">
        <f t="shared" si="88"/>
        <v>0</v>
      </c>
      <c r="AF110">
        <f t="shared" si="88"/>
        <v>0</v>
      </c>
      <c r="AG110">
        <f t="shared" si="89"/>
        <v>0</v>
      </c>
      <c r="AH110">
        <f t="shared" si="90"/>
        <v>0</v>
      </c>
      <c r="AI110">
        <f t="shared" si="90"/>
        <v>0</v>
      </c>
      <c r="AJ110">
        <f t="shared" si="91"/>
        <v>0</v>
      </c>
      <c r="AK110">
        <v>77910.31</v>
      </c>
      <c r="AL110">
        <v>77910.31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1</v>
      </c>
      <c r="AW110">
        <v>1</v>
      </c>
      <c r="AZ110">
        <v>1</v>
      </c>
      <c r="BA110">
        <v>1</v>
      </c>
      <c r="BB110">
        <v>1</v>
      </c>
      <c r="BC110">
        <v>4.5599999999999996</v>
      </c>
      <c r="BD110" t="s">
        <v>3</v>
      </c>
      <c r="BE110" t="s">
        <v>3</v>
      </c>
      <c r="BF110" t="s">
        <v>3</v>
      </c>
      <c r="BG110" t="s">
        <v>3</v>
      </c>
      <c r="BH110">
        <v>3</v>
      </c>
      <c r="BI110">
        <v>3</v>
      </c>
      <c r="BJ110" t="s">
        <v>3</v>
      </c>
      <c r="BM110">
        <v>746</v>
      </c>
      <c r="BN110">
        <v>0</v>
      </c>
      <c r="BO110" t="s">
        <v>125</v>
      </c>
      <c r="BP110">
        <v>1</v>
      </c>
      <c r="BQ110">
        <v>130</v>
      </c>
      <c r="BR110">
        <v>0</v>
      </c>
      <c r="BS110">
        <v>1</v>
      </c>
      <c r="BT110">
        <v>1</v>
      </c>
      <c r="BU110">
        <v>1</v>
      </c>
      <c r="BV110">
        <v>1</v>
      </c>
      <c r="BW110">
        <v>1</v>
      </c>
      <c r="BX110">
        <v>1</v>
      </c>
      <c r="BY110" t="s">
        <v>3</v>
      </c>
      <c r="BZ110">
        <v>0</v>
      </c>
      <c r="CA110">
        <v>0</v>
      </c>
      <c r="CE110">
        <v>0</v>
      </c>
      <c r="CF110">
        <v>0</v>
      </c>
      <c r="CG110">
        <v>0</v>
      </c>
      <c r="CM110">
        <v>0</v>
      </c>
      <c r="CN110" t="s">
        <v>3</v>
      </c>
      <c r="CO110">
        <v>0</v>
      </c>
      <c r="CP110">
        <f t="shared" si="92"/>
        <v>355271.01</v>
      </c>
      <c r="CQ110">
        <f t="shared" si="93"/>
        <v>355271.01359999995</v>
      </c>
      <c r="CR110">
        <f t="shared" si="94"/>
        <v>0</v>
      </c>
      <c r="CS110">
        <f t="shared" si="95"/>
        <v>0</v>
      </c>
      <c r="CT110">
        <f t="shared" si="96"/>
        <v>0</v>
      </c>
      <c r="CU110">
        <f t="shared" si="97"/>
        <v>0</v>
      </c>
      <c r="CV110">
        <f t="shared" si="98"/>
        <v>0</v>
      </c>
      <c r="CW110">
        <f t="shared" si="99"/>
        <v>0</v>
      </c>
      <c r="CX110">
        <f t="shared" si="99"/>
        <v>0</v>
      </c>
      <c r="CY110">
        <f t="shared" si="100"/>
        <v>0</v>
      </c>
      <c r="CZ110">
        <f t="shared" si="101"/>
        <v>0</v>
      </c>
      <c r="DC110" t="s">
        <v>3</v>
      </c>
      <c r="DD110" t="s">
        <v>3</v>
      </c>
      <c r="DE110" t="s">
        <v>3</v>
      </c>
      <c r="DF110" t="s">
        <v>3</v>
      </c>
      <c r="DG110" t="s">
        <v>3</v>
      </c>
      <c r="DH110" t="s">
        <v>3</v>
      </c>
      <c r="DI110" t="s">
        <v>3</v>
      </c>
      <c r="DJ110" t="s">
        <v>3</v>
      </c>
      <c r="DK110" t="s">
        <v>3</v>
      </c>
      <c r="DL110" t="s">
        <v>3</v>
      </c>
      <c r="DM110" t="s">
        <v>3</v>
      </c>
      <c r="DN110">
        <v>0</v>
      </c>
      <c r="DO110">
        <v>0</v>
      </c>
      <c r="DP110">
        <v>1</v>
      </c>
      <c r="DQ110">
        <v>1</v>
      </c>
      <c r="DU110">
        <v>1010</v>
      </c>
      <c r="DV110" t="s">
        <v>134</v>
      </c>
      <c r="DW110" t="s">
        <v>134</v>
      </c>
      <c r="DX110">
        <v>1</v>
      </c>
      <c r="EE110">
        <v>31686523</v>
      </c>
      <c r="EF110">
        <v>130</v>
      </c>
      <c r="EG110" t="s">
        <v>135</v>
      </c>
      <c r="EH110">
        <v>0</v>
      </c>
      <c r="EI110" t="s">
        <v>3</v>
      </c>
      <c r="EJ110">
        <v>3</v>
      </c>
      <c r="EK110">
        <v>746</v>
      </c>
      <c r="EL110" t="s">
        <v>136</v>
      </c>
      <c r="EM110" t="s">
        <v>137</v>
      </c>
      <c r="EO110" t="s">
        <v>3</v>
      </c>
      <c r="EQ110">
        <v>0</v>
      </c>
      <c r="ER110">
        <v>77910.31</v>
      </c>
      <c r="ES110">
        <v>77910.31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5</v>
      </c>
      <c r="FC110">
        <v>1</v>
      </c>
      <c r="FD110">
        <v>18</v>
      </c>
      <c r="FF110">
        <v>409000</v>
      </c>
      <c r="FQ110">
        <v>0</v>
      </c>
      <c r="FR110">
        <f t="shared" si="102"/>
        <v>355271.01</v>
      </c>
      <c r="FS110">
        <v>0</v>
      </c>
      <c r="FX110">
        <v>0</v>
      </c>
      <c r="FY110">
        <v>0</v>
      </c>
      <c r="GA110" t="s">
        <v>138</v>
      </c>
      <c r="GD110">
        <v>0</v>
      </c>
      <c r="GF110">
        <v>-1002025981</v>
      </c>
      <c r="GG110">
        <v>2</v>
      </c>
      <c r="GH110">
        <v>3</v>
      </c>
      <c r="GI110">
        <v>5</v>
      </c>
      <c r="GJ110">
        <v>0</v>
      </c>
      <c r="GK110">
        <f>ROUND(R110*(R12)/100,2)</f>
        <v>0</v>
      </c>
      <c r="GL110">
        <f t="shared" si="103"/>
        <v>0</v>
      </c>
      <c r="GM110">
        <f t="shared" si="104"/>
        <v>355271.01</v>
      </c>
      <c r="GN110">
        <f t="shared" si="105"/>
        <v>0</v>
      </c>
      <c r="GO110">
        <f t="shared" si="106"/>
        <v>0</v>
      </c>
      <c r="GP110">
        <f t="shared" si="107"/>
        <v>0</v>
      </c>
      <c r="GR110">
        <v>1</v>
      </c>
      <c r="GS110">
        <v>1</v>
      </c>
      <c r="GT110">
        <v>0</v>
      </c>
      <c r="GU110" t="s">
        <v>3</v>
      </c>
      <c r="GV110">
        <f t="shared" si="108"/>
        <v>0</v>
      </c>
      <c r="GW110">
        <v>1</v>
      </c>
      <c r="GX110">
        <f t="shared" si="109"/>
        <v>0</v>
      </c>
      <c r="HA110">
        <v>0</v>
      </c>
      <c r="HB110">
        <v>0</v>
      </c>
      <c r="HC110">
        <f t="shared" si="110"/>
        <v>0</v>
      </c>
      <c r="IK110">
        <v>0</v>
      </c>
    </row>
    <row r="111" spans="1:245" x14ac:dyDescent="0.2">
      <c r="A111">
        <v>17</v>
      </c>
      <c r="B111">
        <v>1</v>
      </c>
      <c r="C111">
        <f>ROW(SmtRes!A18)</f>
        <v>18</v>
      </c>
      <c r="D111">
        <f>ROW(EtalonRes!A19)</f>
        <v>19</v>
      </c>
      <c r="E111" t="s">
        <v>139</v>
      </c>
      <c r="F111" t="s">
        <v>140</v>
      </c>
      <c r="G111" t="s">
        <v>141</v>
      </c>
      <c r="H111" t="s">
        <v>142</v>
      </c>
      <c r="I111">
        <f>ROUND((I112)/100,9)</f>
        <v>0.06</v>
      </c>
      <c r="J111">
        <v>0</v>
      </c>
      <c r="O111">
        <f t="shared" si="77"/>
        <v>1036.3</v>
      </c>
      <c r="P111">
        <f t="shared" si="78"/>
        <v>16.04</v>
      </c>
      <c r="Q111">
        <f t="shared" si="79"/>
        <v>150.07</v>
      </c>
      <c r="R111">
        <f t="shared" si="80"/>
        <v>113.25</v>
      </c>
      <c r="S111">
        <f t="shared" si="81"/>
        <v>870.19</v>
      </c>
      <c r="T111">
        <f t="shared" si="82"/>
        <v>0</v>
      </c>
      <c r="U111">
        <f t="shared" si="83"/>
        <v>2.8457459999999992</v>
      </c>
      <c r="V111">
        <f t="shared" si="84"/>
        <v>0</v>
      </c>
      <c r="W111">
        <f t="shared" si="85"/>
        <v>0</v>
      </c>
      <c r="X111">
        <f t="shared" si="86"/>
        <v>783.17</v>
      </c>
      <c r="Y111">
        <f t="shared" si="86"/>
        <v>374.18</v>
      </c>
      <c r="AA111">
        <v>36226623</v>
      </c>
      <c r="AB111">
        <f t="shared" si="87"/>
        <v>800.41</v>
      </c>
      <c r="AC111">
        <f t="shared" si="88"/>
        <v>47.74</v>
      </c>
      <c r="AD111">
        <f t="shared" si="88"/>
        <v>180.98</v>
      </c>
      <c r="AE111">
        <f t="shared" si="88"/>
        <v>74.400000000000006</v>
      </c>
      <c r="AF111">
        <f t="shared" si="88"/>
        <v>571.69000000000005</v>
      </c>
      <c r="AG111">
        <f t="shared" si="89"/>
        <v>0</v>
      </c>
      <c r="AH111">
        <f t="shared" si="90"/>
        <v>45.3</v>
      </c>
      <c r="AI111">
        <f t="shared" si="90"/>
        <v>0</v>
      </c>
      <c r="AJ111">
        <f t="shared" si="91"/>
        <v>0</v>
      </c>
      <c r="AK111">
        <v>800.41</v>
      </c>
      <c r="AL111">
        <v>47.74</v>
      </c>
      <c r="AM111">
        <v>180.98</v>
      </c>
      <c r="AN111">
        <v>74.400000000000006</v>
      </c>
      <c r="AO111">
        <v>571.69000000000005</v>
      </c>
      <c r="AP111">
        <v>0</v>
      </c>
      <c r="AQ111">
        <v>45.3</v>
      </c>
      <c r="AR111">
        <v>0</v>
      </c>
      <c r="AS111">
        <v>0</v>
      </c>
      <c r="AT111">
        <v>90</v>
      </c>
      <c r="AU111">
        <v>43</v>
      </c>
      <c r="AV111">
        <v>1.0469999999999999</v>
      </c>
      <c r="AW111">
        <v>1</v>
      </c>
      <c r="AZ111">
        <v>1</v>
      </c>
      <c r="BA111">
        <v>24.23</v>
      </c>
      <c r="BB111">
        <v>13.2</v>
      </c>
      <c r="BC111">
        <v>5.6</v>
      </c>
      <c r="BD111" t="s">
        <v>3</v>
      </c>
      <c r="BE111" t="s">
        <v>3</v>
      </c>
      <c r="BF111" t="s">
        <v>3</v>
      </c>
      <c r="BG111" t="s">
        <v>3</v>
      </c>
      <c r="BH111">
        <v>0</v>
      </c>
      <c r="BI111">
        <v>2</v>
      </c>
      <c r="BJ111" t="s">
        <v>143</v>
      </c>
      <c r="BM111">
        <v>317</v>
      </c>
      <c r="BN111">
        <v>0</v>
      </c>
      <c r="BO111" t="s">
        <v>140</v>
      </c>
      <c r="BP111">
        <v>1</v>
      </c>
      <c r="BQ111">
        <v>40</v>
      </c>
      <c r="BR111">
        <v>0</v>
      </c>
      <c r="BS111">
        <v>24.23</v>
      </c>
      <c r="BT111">
        <v>1</v>
      </c>
      <c r="BU111">
        <v>1</v>
      </c>
      <c r="BV111">
        <v>1</v>
      </c>
      <c r="BW111">
        <v>1</v>
      </c>
      <c r="BX111">
        <v>1</v>
      </c>
      <c r="BY111" t="s">
        <v>3</v>
      </c>
      <c r="BZ111">
        <v>90</v>
      </c>
      <c r="CA111">
        <v>43</v>
      </c>
      <c r="CE111">
        <v>0</v>
      </c>
      <c r="CF111">
        <v>0</v>
      </c>
      <c r="CG111">
        <v>0</v>
      </c>
      <c r="CM111">
        <v>0</v>
      </c>
      <c r="CN111" t="s">
        <v>3</v>
      </c>
      <c r="CO111">
        <v>0</v>
      </c>
      <c r="CP111">
        <f t="shared" si="92"/>
        <v>1036.3</v>
      </c>
      <c r="CQ111">
        <f t="shared" si="93"/>
        <v>267.34399999999999</v>
      </c>
      <c r="CR111">
        <f t="shared" si="94"/>
        <v>2501.2159919999995</v>
      </c>
      <c r="CS111">
        <f t="shared" si="95"/>
        <v>1887.439464</v>
      </c>
      <c r="CT111">
        <f t="shared" si="96"/>
        <v>14503.0949889</v>
      </c>
      <c r="CU111">
        <f t="shared" si="97"/>
        <v>0</v>
      </c>
      <c r="CV111">
        <f t="shared" si="98"/>
        <v>47.429099999999991</v>
      </c>
      <c r="CW111">
        <f t="shared" si="99"/>
        <v>0</v>
      </c>
      <c r="CX111">
        <f t="shared" si="99"/>
        <v>0</v>
      </c>
      <c r="CY111">
        <f t="shared" si="100"/>
        <v>783.17100000000005</v>
      </c>
      <c r="CZ111">
        <f t="shared" si="101"/>
        <v>374.18170000000003</v>
      </c>
      <c r="DC111" t="s">
        <v>3</v>
      </c>
      <c r="DD111" t="s">
        <v>3</v>
      </c>
      <c r="DE111" t="s">
        <v>3</v>
      </c>
      <c r="DF111" t="s">
        <v>3</v>
      </c>
      <c r="DG111" t="s">
        <v>3</v>
      </c>
      <c r="DH111" t="s">
        <v>3</v>
      </c>
      <c r="DI111" t="s">
        <v>3</v>
      </c>
      <c r="DJ111" t="s">
        <v>3</v>
      </c>
      <c r="DK111" t="s">
        <v>3</v>
      </c>
      <c r="DL111" t="s">
        <v>3</v>
      </c>
      <c r="DM111" t="s">
        <v>3</v>
      </c>
      <c r="DN111">
        <v>112</v>
      </c>
      <c r="DO111">
        <v>70</v>
      </c>
      <c r="DP111">
        <v>1.0469999999999999</v>
      </c>
      <c r="DQ111">
        <v>1</v>
      </c>
      <c r="DU111">
        <v>1003</v>
      </c>
      <c r="DV111" t="s">
        <v>142</v>
      </c>
      <c r="DW111" t="s">
        <v>142</v>
      </c>
      <c r="DX111">
        <v>100</v>
      </c>
      <c r="EE111">
        <v>31686094</v>
      </c>
      <c r="EF111">
        <v>40</v>
      </c>
      <c r="EG111" t="s">
        <v>113</v>
      </c>
      <c r="EH111">
        <v>0</v>
      </c>
      <c r="EI111" t="s">
        <v>3</v>
      </c>
      <c r="EJ111">
        <v>2</v>
      </c>
      <c r="EK111">
        <v>317</v>
      </c>
      <c r="EL111" t="s">
        <v>114</v>
      </c>
      <c r="EM111" t="s">
        <v>115</v>
      </c>
      <c r="EO111" t="s">
        <v>3</v>
      </c>
      <c r="EQ111">
        <v>0</v>
      </c>
      <c r="ER111">
        <v>800.41</v>
      </c>
      <c r="ES111">
        <v>47.74</v>
      </c>
      <c r="ET111">
        <v>180.98</v>
      </c>
      <c r="EU111">
        <v>74.400000000000006</v>
      </c>
      <c r="EV111">
        <v>571.69000000000005</v>
      </c>
      <c r="EW111">
        <v>45.3</v>
      </c>
      <c r="EX111">
        <v>0</v>
      </c>
      <c r="EY111">
        <v>0</v>
      </c>
      <c r="FQ111">
        <v>0</v>
      </c>
      <c r="FR111">
        <f t="shared" si="102"/>
        <v>0</v>
      </c>
      <c r="FS111">
        <v>0</v>
      </c>
      <c r="FX111">
        <v>112</v>
      </c>
      <c r="FY111">
        <v>70</v>
      </c>
      <c r="GA111" t="s">
        <v>3</v>
      </c>
      <c r="GD111">
        <v>0</v>
      </c>
      <c r="GF111">
        <v>294845996</v>
      </c>
      <c r="GG111">
        <v>2</v>
      </c>
      <c r="GH111">
        <v>1</v>
      </c>
      <c r="GI111">
        <v>2</v>
      </c>
      <c r="GJ111">
        <v>0</v>
      </c>
      <c r="GK111">
        <f>ROUND(R111*(R12)/100,2)</f>
        <v>177.8</v>
      </c>
      <c r="GL111">
        <f t="shared" si="103"/>
        <v>0</v>
      </c>
      <c r="GM111">
        <f t="shared" si="104"/>
        <v>2371.4499999999998</v>
      </c>
      <c r="GN111">
        <f t="shared" si="105"/>
        <v>0</v>
      </c>
      <c r="GO111">
        <f t="shared" si="106"/>
        <v>2371.4499999999998</v>
      </c>
      <c r="GP111">
        <f t="shared" si="107"/>
        <v>0</v>
      </c>
      <c r="GR111">
        <v>0</v>
      </c>
      <c r="GS111">
        <v>0</v>
      </c>
      <c r="GT111">
        <v>0</v>
      </c>
      <c r="GU111" t="s">
        <v>3</v>
      </c>
      <c r="GV111">
        <f t="shared" si="108"/>
        <v>0</v>
      </c>
      <c r="GW111">
        <v>1</v>
      </c>
      <c r="GX111">
        <f t="shared" si="109"/>
        <v>0</v>
      </c>
      <c r="HA111">
        <v>0</v>
      </c>
      <c r="HB111">
        <v>0</v>
      </c>
      <c r="HC111">
        <f t="shared" si="110"/>
        <v>0</v>
      </c>
      <c r="IK111">
        <v>0</v>
      </c>
    </row>
    <row r="112" spans="1:245" x14ac:dyDescent="0.2">
      <c r="A112">
        <v>17</v>
      </c>
      <c r="B112">
        <v>1</v>
      </c>
      <c r="E112" t="s">
        <v>144</v>
      </c>
      <c r="F112" t="s">
        <v>123</v>
      </c>
      <c r="G112" t="s">
        <v>145</v>
      </c>
      <c r="H112" t="s">
        <v>146</v>
      </c>
      <c r="I112">
        <v>6</v>
      </c>
      <c r="J112">
        <v>0</v>
      </c>
      <c r="O112">
        <f t="shared" si="77"/>
        <v>3894.73</v>
      </c>
      <c r="P112">
        <f t="shared" si="78"/>
        <v>3894.73</v>
      </c>
      <c r="Q112">
        <f t="shared" si="79"/>
        <v>0</v>
      </c>
      <c r="R112">
        <f t="shared" si="80"/>
        <v>0</v>
      </c>
      <c r="S112">
        <f t="shared" si="81"/>
        <v>0</v>
      </c>
      <c r="T112">
        <f t="shared" si="82"/>
        <v>0</v>
      </c>
      <c r="U112">
        <f t="shared" si="83"/>
        <v>0</v>
      </c>
      <c r="V112">
        <f t="shared" si="84"/>
        <v>0</v>
      </c>
      <c r="W112">
        <f t="shared" si="85"/>
        <v>0</v>
      </c>
      <c r="X112">
        <f t="shared" si="86"/>
        <v>0</v>
      </c>
      <c r="Y112">
        <f t="shared" si="86"/>
        <v>0</v>
      </c>
      <c r="AA112">
        <v>36226623</v>
      </c>
      <c r="AB112">
        <f t="shared" si="87"/>
        <v>116.33</v>
      </c>
      <c r="AC112">
        <f t="shared" si="88"/>
        <v>116.33</v>
      </c>
      <c r="AD112">
        <f t="shared" si="88"/>
        <v>0</v>
      </c>
      <c r="AE112">
        <f t="shared" si="88"/>
        <v>0</v>
      </c>
      <c r="AF112">
        <f t="shared" si="88"/>
        <v>0</v>
      </c>
      <c r="AG112">
        <f t="shared" si="89"/>
        <v>0</v>
      </c>
      <c r="AH112">
        <f t="shared" si="90"/>
        <v>0</v>
      </c>
      <c r="AI112">
        <f t="shared" si="90"/>
        <v>0</v>
      </c>
      <c r="AJ112">
        <f t="shared" si="91"/>
        <v>0</v>
      </c>
      <c r="AK112">
        <v>116.33</v>
      </c>
      <c r="AL112">
        <v>116.33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1</v>
      </c>
      <c r="AW112">
        <v>1</v>
      </c>
      <c r="AZ112">
        <v>1</v>
      </c>
      <c r="BA112">
        <v>1</v>
      </c>
      <c r="BB112">
        <v>1</v>
      </c>
      <c r="BC112">
        <v>5.58</v>
      </c>
      <c r="BD112" t="s">
        <v>3</v>
      </c>
      <c r="BE112" t="s">
        <v>3</v>
      </c>
      <c r="BF112" t="s">
        <v>3</v>
      </c>
      <c r="BG112" t="s">
        <v>3</v>
      </c>
      <c r="BH112">
        <v>3</v>
      </c>
      <c r="BI112">
        <v>1</v>
      </c>
      <c r="BJ112" t="s">
        <v>3</v>
      </c>
      <c r="BM112">
        <v>400002</v>
      </c>
      <c r="BN112">
        <v>0</v>
      </c>
      <c r="BO112" t="s">
        <v>125</v>
      </c>
      <c r="BP112">
        <v>1</v>
      </c>
      <c r="BQ112">
        <v>202</v>
      </c>
      <c r="BR112">
        <v>0</v>
      </c>
      <c r="BS112">
        <v>1</v>
      </c>
      <c r="BT112">
        <v>1</v>
      </c>
      <c r="BU112">
        <v>1</v>
      </c>
      <c r="BV112">
        <v>1</v>
      </c>
      <c r="BW112">
        <v>1</v>
      </c>
      <c r="BX112">
        <v>1</v>
      </c>
      <c r="BY112" t="s">
        <v>3</v>
      </c>
      <c r="BZ112">
        <v>0</v>
      </c>
      <c r="CA112">
        <v>0</v>
      </c>
      <c r="CE112">
        <v>0</v>
      </c>
      <c r="CF112">
        <v>0</v>
      </c>
      <c r="CG112">
        <v>0</v>
      </c>
      <c r="CM112">
        <v>0</v>
      </c>
      <c r="CN112" t="s">
        <v>3</v>
      </c>
      <c r="CO112">
        <v>0</v>
      </c>
      <c r="CP112">
        <f t="shared" si="92"/>
        <v>3894.73</v>
      </c>
      <c r="CQ112">
        <f t="shared" si="93"/>
        <v>649.12139999999999</v>
      </c>
      <c r="CR112">
        <f t="shared" si="94"/>
        <v>0</v>
      </c>
      <c r="CS112">
        <f t="shared" si="95"/>
        <v>0</v>
      </c>
      <c r="CT112">
        <f t="shared" si="96"/>
        <v>0</v>
      </c>
      <c r="CU112">
        <f t="shared" si="97"/>
        <v>0</v>
      </c>
      <c r="CV112">
        <f t="shared" si="98"/>
        <v>0</v>
      </c>
      <c r="CW112">
        <f t="shared" si="99"/>
        <v>0</v>
      </c>
      <c r="CX112">
        <f t="shared" si="99"/>
        <v>0</v>
      </c>
      <c r="CY112">
        <f t="shared" si="100"/>
        <v>0</v>
      </c>
      <c r="CZ112">
        <f t="shared" si="101"/>
        <v>0</v>
      </c>
      <c r="DC112" t="s">
        <v>3</v>
      </c>
      <c r="DD112" t="s">
        <v>3</v>
      </c>
      <c r="DE112" t="s">
        <v>3</v>
      </c>
      <c r="DF112" t="s">
        <v>3</v>
      </c>
      <c r="DG112" t="s">
        <v>3</v>
      </c>
      <c r="DH112" t="s">
        <v>3</v>
      </c>
      <c r="DI112" t="s">
        <v>3</v>
      </c>
      <c r="DJ112" t="s">
        <v>3</v>
      </c>
      <c r="DK112" t="s">
        <v>3</v>
      </c>
      <c r="DL112" t="s">
        <v>3</v>
      </c>
      <c r="DM112" t="s">
        <v>3</v>
      </c>
      <c r="DN112">
        <v>0</v>
      </c>
      <c r="DO112">
        <v>0</v>
      </c>
      <c r="DP112">
        <v>1</v>
      </c>
      <c r="DQ112">
        <v>1</v>
      </c>
      <c r="DU112">
        <v>1003</v>
      </c>
      <c r="DV112" t="s">
        <v>146</v>
      </c>
      <c r="DW112" t="s">
        <v>146</v>
      </c>
      <c r="DX112">
        <v>1</v>
      </c>
      <c r="EE112">
        <v>31687787</v>
      </c>
      <c r="EF112">
        <v>202</v>
      </c>
      <c r="EG112" t="s">
        <v>126</v>
      </c>
      <c r="EH112">
        <v>0</v>
      </c>
      <c r="EI112" t="s">
        <v>3</v>
      </c>
      <c r="EJ112">
        <v>1</v>
      </c>
      <c r="EK112">
        <v>400002</v>
      </c>
      <c r="EL112" t="s">
        <v>127</v>
      </c>
      <c r="EM112" t="s">
        <v>126</v>
      </c>
      <c r="EO112" t="s">
        <v>3</v>
      </c>
      <c r="EQ112">
        <v>0</v>
      </c>
      <c r="ER112">
        <v>116.33</v>
      </c>
      <c r="ES112">
        <v>116.33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FQ112">
        <v>0</v>
      </c>
      <c r="FR112">
        <f t="shared" si="102"/>
        <v>0</v>
      </c>
      <c r="FS112">
        <v>0</v>
      </c>
      <c r="FX112">
        <v>0</v>
      </c>
      <c r="FY112">
        <v>0</v>
      </c>
      <c r="GA112" t="s">
        <v>3</v>
      </c>
      <c r="GD112">
        <v>0</v>
      </c>
      <c r="GF112">
        <v>-74414689</v>
      </c>
      <c r="GG112">
        <v>2</v>
      </c>
      <c r="GH112">
        <v>0</v>
      </c>
      <c r="GI112">
        <v>5</v>
      </c>
      <c r="GJ112">
        <v>0</v>
      </c>
      <c r="GK112">
        <f>ROUND(R112*(R12)/100,2)</f>
        <v>0</v>
      </c>
      <c r="GL112">
        <f t="shared" si="103"/>
        <v>0</v>
      </c>
      <c r="GM112">
        <f t="shared" si="104"/>
        <v>3894.73</v>
      </c>
      <c r="GN112">
        <f t="shared" si="105"/>
        <v>3894.73</v>
      </c>
      <c r="GO112">
        <f t="shared" si="106"/>
        <v>0</v>
      </c>
      <c r="GP112">
        <f t="shared" si="107"/>
        <v>0</v>
      </c>
      <c r="GR112">
        <v>0</v>
      </c>
      <c r="GS112">
        <v>0</v>
      </c>
      <c r="GT112">
        <v>0</v>
      </c>
      <c r="GU112" t="s">
        <v>3</v>
      </c>
      <c r="GV112">
        <f t="shared" si="108"/>
        <v>0</v>
      </c>
      <c r="GW112">
        <v>1</v>
      </c>
      <c r="GX112">
        <f t="shared" si="109"/>
        <v>0</v>
      </c>
      <c r="HA112">
        <v>0</v>
      </c>
      <c r="HB112">
        <v>0</v>
      </c>
      <c r="HC112">
        <f t="shared" si="110"/>
        <v>0</v>
      </c>
      <c r="IK112">
        <v>0</v>
      </c>
    </row>
    <row r="113" spans="1:245" x14ac:dyDescent="0.2">
      <c r="A113">
        <v>17</v>
      </c>
      <c r="B113">
        <v>1</v>
      </c>
      <c r="C113">
        <f>ROW(SmtRes!A19)</f>
        <v>19</v>
      </c>
      <c r="D113">
        <f>ROW(EtalonRes!A20)</f>
        <v>20</v>
      </c>
      <c r="E113" t="s">
        <v>147</v>
      </c>
      <c r="F113" t="s">
        <v>148</v>
      </c>
      <c r="G113" t="s">
        <v>149</v>
      </c>
      <c r="H113" t="s">
        <v>111</v>
      </c>
      <c r="I113">
        <f>ROUND(I114*3,9)</f>
        <v>3</v>
      </c>
      <c r="J113">
        <v>0</v>
      </c>
      <c r="O113">
        <f t="shared" si="77"/>
        <v>2731.79</v>
      </c>
      <c r="P113">
        <f t="shared" si="78"/>
        <v>76.44</v>
      </c>
      <c r="Q113">
        <f t="shared" si="79"/>
        <v>0</v>
      </c>
      <c r="R113">
        <f t="shared" si="80"/>
        <v>0</v>
      </c>
      <c r="S113">
        <f t="shared" si="81"/>
        <v>2655.35</v>
      </c>
      <c r="T113">
        <f t="shared" si="82"/>
        <v>0</v>
      </c>
      <c r="U113">
        <f t="shared" si="83"/>
        <v>8.8890299999999982</v>
      </c>
      <c r="V113">
        <f t="shared" si="84"/>
        <v>0</v>
      </c>
      <c r="W113">
        <f t="shared" si="85"/>
        <v>0</v>
      </c>
      <c r="X113">
        <f t="shared" si="86"/>
        <v>2389.8200000000002</v>
      </c>
      <c r="Y113">
        <f t="shared" si="86"/>
        <v>1141.8</v>
      </c>
      <c r="AA113">
        <v>36226623</v>
      </c>
      <c r="AB113">
        <f t="shared" si="87"/>
        <v>39.44</v>
      </c>
      <c r="AC113">
        <f t="shared" si="88"/>
        <v>4.55</v>
      </c>
      <c r="AD113">
        <f t="shared" si="88"/>
        <v>0</v>
      </c>
      <c r="AE113">
        <f t="shared" si="88"/>
        <v>0</v>
      </c>
      <c r="AF113">
        <f t="shared" si="88"/>
        <v>34.89</v>
      </c>
      <c r="AG113">
        <f t="shared" si="89"/>
        <v>0</v>
      </c>
      <c r="AH113">
        <f t="shared" si="90"/>
        <v>2.83</v>
      </c>
      <c r="AI113">
        <f t="shared" si="90"/>
        <v>0</v>
      </c>
      <c r="AJ113">
        <f t="shared" si="91"/>
        <v>0</v>
      </c>
      <c r="AK113">
        <v>39.44</v>
      </c>
      <c r="AL113">
        <v>4.55</v>
      </c>
      <c r="AM113">
        <v>0</v>
      </c>
      <c r="AN113">
        <v>0</v>
      </c>
      <c r="AO113">
        <v>34.89</v>
      </c>
      <c r="AP113">
        <v>0</v>
      </c>
      <c r="AQ113">
        <v>2.83</v>
      </c>
      <c r="AR113">
        <v>0</v>
      </c>
      <c r="AS113">
        <v>0</v>
      </c>
      <c r="AT113">
        <v>90</v>
      </c>
      <c r="AU113">
        <v>43</v>
      </c>
      <c r="AV113">
        <v>1.0469999999999999</v>
      </c>
      <c r="AW113">
        <v>1</v>
      </c>
      <c r="AZ113">
        <v>1</v>
      </c>
      <c r="BA113">
        <v>24.23</v>
      </c>
      <c r="BB113">
        <v>1</v>
      </c>
      <c r="BC113">
        <v>5.6</v>
      </c>
      <c r="BD113" t="s">
        <v>3</v>
      </c>
      <c r="BE113" t="s">
        <v>3</v>
      </c>
      <c r="BF113" t="s">
        <v>3</v>
      </c>
      <c r="BG113" t="s">
        <v>3</v>
      </c>
      <c r="BH113">
        <v>0</v>
      </c>
      <c r="BI113">
        <v>2</v>
      </c>
      <c r="BJ113" t="s">
        <v>150</v>
      </c>
      <c r="BM113">
        <v>320</v>
      </c>
      <c r="BN113">
        <v>0</v>
      </c>
      <c r="BO113" t="s">
        <v>148</v>
      </c>
      <c r="BP113">
        <v>1</v>
      </c>
      <c r="BQ113">
        <v>40</v>
      </c>
      <c r="BR113">
        <v>0</v>
      </c>
      <c r="BS113">
        <v>24.23</v>
      </c>
      <c r="BT113">
        <v>1</v>
      </c>
      <c r="BU113">
        <v>1</v>
      </c>
      <c r="BV113">
        <v>1</v>
      </c>
      <c r="BW113">
        <v>1</v>
      </c>
      <c r="BX113">
        <v>1</v>
      </c>
      <c r="BY113" t="s">
        <v>3</v>
      </c>
      <c r="BZ113">
        <v>90</v>
      </c>
      <c r="CA113">
        <v>43</v>
      </c>
      <c r="CE113">
        <v>0</v>
      </c>
      <c r="CF113">
        <v>0</v>
      </c>
      <c r="CG113">
        <v>0</v>
      </c>
      <c r="CM113">
        <v>0</v>
      </c>
      <c r="CN113" t="s">
        <v>3</v>
      </c>
      <c r="CO113">
        <v>0</v>
      </c>
      <c r="CP113">
        <f t="shared" si="92"/>
        <v>2731.79</v>
      </c>
      <c r="CQ113">
        <f t="shared" si="93"/>
        <v>25.479999999999997</v>
      </c>
      <c r="CR113">
        <f t="shared" si="94"/>
        <v>0</v>
      </c>
      <c r="CS113">
        <f t="shared" si="95"/>
        <v>0</v>
      </c>
      <c r="CT113">
        <f t="shared" si="96"/>
        <v>885.11778089999996</v>
      </c>
      <c r="CU113">
        <f t="shared" si="97"/>
        <v>0</v>
      </c>
      <c r="CV113">
        <f t="shared" si="98"/>
        <v>2.9630099999999997</v>
      </c>
      <c r="CW113">
        <f t="shared" si="99"/>
        <v>0</v>
      </c>
      <c r="CX113">
        <f t="shared" si="99"/>
        <v>0</v>
      </c>
      <c r="CY113">
        <f t="shared" si="100"/>
        <v>2389.8150000000001</v>
      </c>
      <c r="CZ113">
        <f t="shared" si="101"/>
        <v>1141.8005000000001</v>
      </c>
      <c r="DC113" t="s">
        <v>3</v>
      </c>
      <c r="DD113" t="s">
        <v>3</v>
      </c>
      <c r="DE113" t="s">
        <v>3</v>
      </c>
      <c r="DF113" t="s">
        <v>3</v>
      </c>
      <c r="DG113" t="s">
        <v>3</v>
      </c>
      <c r="DH113" t="s">
        <v>3</v>
      </c>
      <c r="DI113" t="s">
        <v>3</v>
      </c>
      <c r="DJ113" t="s">
        <v>3</v>
      </c>
      <c r="DK113" t="s">
        <v>3</v>
      </c>
      <c r="DL113" t="s">
        <v>3</v>
      </c>
      <c r="DM113" t="s">
        <v>3</v>
      </c>
      <c r="DN113">
        <v>112</v>
      </c>
      <c r="DO113">
        <v>70</v>
      </c>
      <c r="DP113">
        <v>1.0469999999999999</v>
      </c>
      <c r="DQ113">
        <v>1</v>
      </c>
      <c r="DU113">
        <v>1013</v>
      </c>
      <c r="DV113" t="s">
        <v>111</v>
      </c>
      <c r="DW113" t="s">
        <v>111</v>
      </c>
      <c r="DX113">
        <v>1</v>
      </c>
      <c r="EE113">
        <v>31686097</v>
      </c>
      <c r="EF113">
        <v>40</v>
      </c>
      <c r="EG113" t="s">
        <v>113</v>
      </c>
      <c r="EH113">
        <v>0</v>
      </c>
      <c r="EI113" t="s">
        <v>3</v>
      </c>
      <c r="EJ113">
        <v>2</v>
      </c>
      <c r="EK113">
        <v>320</v>
      </c>
      <c r="EL113" t="s">
        <v>151</v>
      </c>
      <c r="EM113" t="s">
        <v>152</v>
      </c>
      <c r="EO113" t="s">
        <v>3</v>
      </c>
      <c r="EQ113">
        <v>0</v>
      </c>
      <c r="ER113">
        <v>39.44</v>
      </c>
      <c r="ES113">
        <v>4.55</v>
      </c>
      <c r="ET113">
        <v>0</v>
      </c>
      <c r="EU113">
        <v>0</v>
      </c>
      <c r="EV113">
        <v>34.89</v>
      </c>
      <c r="EW113">
        <v>2.83</v>
      </c>
      <c r="EX113">
        <v>0</v>
      </c>
      <c r="EY113">
        <v>0</v>
      </c>
      <c r="FQ113">
        <v>0</v>
      </c>
      <c r="FR113">
        <f t="shared" si="102"/>
        <v>0</v>
      </c>
      <c r="FS113">
        <v>0</v>
      </c>
      <c r="FX113">
        <v>112</v>
      </c>
      <c r="FY113">
        <v>70</v>
      </c>
      <c r="GA113" t="s">
        <v>3</v>
      </c>
      <c r="GD113">
        <v>0</v>
      </c>
      <c r="GF113">
        <v>1769966061</v>
      </c>
      <c r="GG113">
        <v>2</v>
      </c>
      <c r="GH113">
        <v>1</v>
      </c>
      <c r="GI113">
        <v>2</v>
      </c>
      <c r="GJ113">
        <v>0</v>
      </c>
      <c r="GK113">
        <f>ROUND(R113*(R12)/100,2)</f>
        <v>0</v>
      </c>
      <c r="GL113">
        <f t="shared" si="103"/>
        <v>0</v>
      </c>
      <c r="GM113">
        <f t="shared" si="104"/>
        <v>6263.41</v>
      </c>
      <c r="GN113">
        <f t="shared" si="105"/>
        <v>0</v>
      </c>
      <c r="GO113">
        <f t="shared" si="106"/>
        <v>6263.41</v>
      </c>
      <c r="GP113">
        <f t="shared" si="107"/>
        <v>0</v>
      </c>
      <c r="GR113">
        <v>0</v>
      </c>
      <c r="GS113">
        <v>0</v>
      </c>
      <c r="GT113">
        <v>0</v>
      </c>
      <c r="GU113" t="s">
        <v>3</v>
      </c>
      <c r="GV113">
        <f t="shared" si="108"/>
        <v>0</v>
      </c>
      <c r="GW113">
        <v>1</v>
      </c>
      <c r="GX113">
        <f t="shared" si="109"/>
        <v>0</v>
      </c>
      <c r="HA113">
        <v>0</v>
      </c>
      <c r="HB113">
        <v>0</v>
      </c>
      <c r="HC113">
        <f t="shared" si="110"/>
        <v>0</v>
      </c>
      <c r="IK113">
        <v>0</v>
      </c>
    </row>
    <row r="114" spans="1:245" x14ac:dyDescent="0.2">
      <c r="A114">
        <v>17</v>
      </c>
      <c r="B114">
        <v>1</v>
      </c>
      <c r="E114" t="s">
        <v>153</v>
      </c>
      <c r="F114" t="s">
        <v>154</v>
      </c>
      <c r="G114" t="s">
        <v>155</v>
      </c>
      <c r="H114" t="s">
        <v>156</v>
      </c>
      <c r="I114">
        <v>1</v>
      </c>
      <c r="J114">
        <v>0</v>
      </c>
      <c r="O114">
        <f t="shared" si="77"/>
        <v>5931.23</v>
      </c>
      <c r="P114">
        <f t="shared" si="78"/>
        <v>5931.23</v>
      </c>
      <c r="Q114">
        <f t="shared" si="79"/>
        <v>0</v>
      </c>
      <c r="R114">
        <f t="shared" si="80"/>
        <v>0</v>
      </c>
      <c r="S114">
        <f t="shared" si="81"/>
        <v>0</v>
      </c>
      <c r="T114">
        <f t="shared" si="82"/>
        <v>0</v>
      </c>
      <c r="U114">
        <f t="shared" si="83"/>
        <v>0</v>
      </c>
      <c r="V114">
        <f t="shared" si="84"/>
        <v>0</v>
      </c>
      <c r="W114">
        <f t="shared" si="85"/>
        <v>0</v>
      </c>
      <c r="X114">
        <f t="shared" si="86"/>
        <v>0</v>
      </c>
      <c r="Y114">
        <f t="shared" si="86"/>
        <v>0</v>
      </c>
      <c r="AA114">
        <v>36226623</v>
      </c>
      <c r="AB114">
        <f t="shared" si="87"/>
        <v>2045.25</v>
      </c>
      <c r="AC114">
        <f t="shared" si="88"/>
        <v>2045.25</v>
      </c>
      <c r="AD114">
        <f t="shared" si="88"/>
        <v>0</v>
      </c>
      <c r="AE114">
        <f t="shared" si="88"/>
        <v>0</v>
      </c>
      <c r="AF114">
        <f t="shared" si="88"/>
        <v>0</v>
      </c>
      <c r="AG114">
        <f t="shared" si="89"/>
        <v>0</v>
      </c>
      <c r="AH114">
        <f t="shared" si="90"/>
        <v>0</v>
      </c>
      <c r="AI114">
        <f t="shared" si="90"/>
        <v>0</v>
      </c>
      <c r="AJ114">
        <f t="shared" si="91"/>
        <v>0</v>
      </c>
      <c r="AK114">
        <v>2045.25</v>
      </c>
      <c r="AL114">
        <v>2045.25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1</v>
      </c>
      <c r="AW114">
        <v>1</v>
      </c>
      <c r="AZ114">
        <v>1</v>
      </c>
      <c r="BA114">
        <v>1</v>
      </c>
      <c r="BB114">
        <v>1</v>
      </c>
      <c r="BC114">
        <v>2.9</v>
      </c>
      <c r="BD114" t="s">
        <v>3</v>
      </c>
      <c r="BE114" t="s">
        <v>3</v>
      </c>
      <c r="BF114" t="s">
        <v>3</v>
      </c>
      <c r="BG114" t="s">
        <v>3</v>
      </c>
      <c r="BH114">
        <v>3</v>
      </c>
      <c r="BI114">
        <v>2</v>
      </c>
      <c r="BJ114" t="s">
        <v>157</v>
      </c>
      <c r="BM114">
        <v>1618</v>
      </c>
      <c r="BN114">
        <v>0</v>
      </c>
      <c r="BO114" t="s">
        <v>154</v>
      </c>
      <c r="BP114">
        <v>1</v>
      </c>
      <c r="BQ114">
        <v>201</v>
      </c>
      <c r="BR114">
        <v>0</v>
      </c>
      <c r="BS114">
        <v>1</v>
      </c>
      <c r="BT114">
        <v>1</v>
      </c>
      <c r="BU114">
        <v>1</v>
      </c>
      <c r="BV114">
        <v>1</v>
      </c>
      <c r="BW114">
        <v>1</v>
      </c>
      <c r="BX114">
        <v>1</v>
      </c>
      <c r="BY114" t="s">
        <v>3</v>
      </c>
      <c r="BZ114">
        <v>0</v>
      </c>
      <c r="CA114">
        <v>0</v>
      </c>
      <c r="CE114">
        <v>0</v>
      </c>
      <c r="CF114">
        <v>0</v>
      </c>
      <c r="CG114">
        <v>0</v>
      </c>
      <c r="CM114">
        <v>0</v>
      </c>
      <c r="CN114" t="s">
        <v>3</v>
      </c>
      <c r="CO114">
        <v>0</v>
      </c>
      <c r="CP114">
        <f t="shared" si="92"/>
        <v>5931.23</v>
      </c>
      <c r="CQ114">
        <f t="shared" si="93"/>
        <v>5931.2249999999995</v>
      </c>
      <c r="CR114">
        <f t="shared" si="94"/>
        <v>0</v>
      </c>
      <c r="CS114">
        <f t="shared" si="95"/>
        <v>0</v>
      </c>
      <c r="CT114">
        <f t="shared" si="96"/>
        <v>0</v>
      </c>
      <c r="CU114">
        <f t="shared" si="97"/>
        <v>0</v>
      </c>
      <c r="CV114">
        <f t="shared" si="98"/>
        <v>0</v>
      </c>
      <c r="CW114">
        <f t="shared" si="99"/>
        <v>0</v>
      </c>
      <c r="CX114">
        <f t="shared" si="99"/>
        <v>0</v>
      </c>
      <c r="CY114">
        <f t="shared" si="100"/>
        <v>0</v>
      </c>
      <c r="CZ114">
        <f t="shared" si="101"/>
        <v>0</v>
      </c>
      <c r="DC114" t="s">
        <v>3</v>
      </c>
      <c r="DD114" t="s">
        <v>3</v>
      </c>
      <c r="DE114" t="s">
        <v>3</v>
      </c>
      <c r="DF114" t="s">
        <v>3</v>
      </c>
      <c r="DG114" t="s">
        <v>3</v>
      </c>
      <c r="DH114" t="s">
        <v>3</v>
      </c>
      <c r="DI114" t="s">
        <v>3</v>
      </c>
      <c r="DJ114" t="s">
        <v>3</v>
      </c>
      <c r="DK114" t="s">
        <v>3</v>
      </c>
      <c r="DL114" t="s">
        <v>3</v>
      </c>
      <c r="DM114" t="s">
        <v>3</v>
      </c>
      <c r="DN114">
        <v>0</v>
      </c>
      <c r="DO114">
        <v>0</v>
      </c>
      <c r="DP114">
        <v>1</v>
      </c>
      <c r="DQ114">
        <v>1</v>
      </c>
      <c r="DU114">
        <v>1013</v>
      </c>
      <c r="DV114" t="s">
        <v>156</v>
      </c>
      <c r="DW114" t="s">
        <v>156</v>
      </c>
      <c r="DX114">
        <v>1</v>
      </c>
      <c r="EE114">
        <v>31687395</v>
      </c>
      <c r="EF114">
        <v>201</v>
      </c>
      <c r="EG114" t="s">
        <v>158</v>
      </c>
      <c r="EH114">
        <v>0</v>
      </c>
      <c r="EI114" t="s">
        <v>3</v>
      </c>
      <c r="EJ114">
        <v>2</v>
      </c>
      <c r="EK114">
        <v>1618</v>
      </c>
      <c r="EL114" t="s">
        <v>159</v>
      </c>
      <c r="EM114" t="s">
        <v>160</v>
      </c>
      <c r="EO114" t="s">
        <v>3</v>
      </c>
      <c r="EQ114">
        <v>0</v>
      </c>
      <c r="ER114">
        <v>2045.25</v>
      </c>
      <c r="ES114">
        <v>2045.25</v>
      </c>
      <c r="ET114">
        <v>0</v>
      </c>
      <c r="EU114">
        <v>0</v>
      </c>
      <c r="EV114">
        <v>0</v>
      </c>
      <c r="EW114">
        <v>0</v>
      </c>
      <c r="EX114">
        <v>0</v>
      </c>
      <c r="EY114">
        <v>0</v>
      </c>
      <c r="FQ114">
        <v>0</v>
      </c>
      <c r="FR114">
        <f t="shared" si="102"/>
        <v>0</v>
      </c>
      <c r="FS114">
        <v>0</v>
      </c>
      <c r="FX114">
        <v>0</v>
      </c>
      <c r="FY114">
        <v>0</v>
      </c>
      <c r="GA114" t="s">
        <v>3</v>
      </c>
      <c r="GD114">
        <v>0</v>
      </c>
      <c r="GF114">
        <v>1935023716</v>
      </c>
      <c r="GG114">
        <v>2</v>
      </c>
      <c r="GH114">
        <v>1</v>
      </c>
      <c r="GI114">
        <v>2</v>
      </c>
      <c r="GJ114">
        <v>0</v>
      </c>
      <c r="GK114">
        <f>ROUND(R114*(R12)/100,2)</f>
        <v>0</v>
      </c>
      <c r="GL114">
        <f t="shared" si="103"/>
        <v>0</v>
      </c>
      <c r="GM114">
        <f t="shared" si="104"/>
        <v>5931.23</v>
      </c>
      <c r="GN114">
        <f t="shared" si="105"/>
        <v>0</v>
      </c>
      <c r="GO114">
        <f t="shared" si="106"/>
        <v>5931.23</v>
      </c>
      <c r="GP114">
        <f t="shared" si="107"/>
        <v>0</v>
      </c>
      <c r="GR114">
        <v>0</v>
      </c>
      <c r="GS114">
        <v>0</v>
      </c>
      <c r="GT114">
        <v>0</v>
      </c>
      <c r="GU114" t="s">
        <v>3</v>
      </c>
      <c r="GV114">
        <f t="shared" si="108"/>
        <v>0</v>
      </c>
      <c r="GW114">
        <v>1</v>
      </c>
      <c r="GX114">
        <f t="shared" si="109"/>
        <v>0</v>
      </c>
      <c r="HA114">
        <v>0</v>
      </c>
      <c r="HB114">
        <v>0</v>
      </c>
      <c r="HC114">
        <f t="shared" si="110"/>
        <v>0</v>
      </c>
      <c r="IK114">
        <v>0</v>
      </c>
    </row>
    <row r="116" spans="1:245" x14ac:dyDescent="0.2">
      <c r="A116" s="2">
        <v>51</v>
      </c>
      <c r="B116" s="2">
        <f>B104</f>
        <v>1</v>
      </c>
      <c r="C116" s="2">
        <f>A104</f>
        <v>4</v>
      </c>
      <c r="D116" s="2">
        <f>ROW(A104)</f>
        <v>104</v>
      </c>
      <c r="E116" s="2"/>
      <c r="F116" s="2" t="str">
        <f>IF(F104&lt;&gt;"",F104,"")</f>
        <v>3</v>
      </c>
      <c r="G116" s="2" t="str">
        <f>IF(G104&lt;&gt;"",G104,"")</f>
        <v>Монтажные работы</v>
      </c>
      <c r="H116" s="2">
        <v>0</v>
      </c>
      <c r="I116" s="2"/>
      <c r="J116" s="2"/>
      <c r="K116" s="2"/>
      <c r="L116" s="2"/>
      <c r="M116" s="2"/>
      <c r="N116" s="2"/>
      <c r="O116" s="2">
        <f t="shared" ref="O116:T116" si="111">ROUND(AB116,2)</f>
        <v>388767.51</v>
      </c>
      <c r="P116" s="2">
        <f t="shared" si="111"/>
        <v>367384.65</v>
      </c>
      <c r="Q116" s="2">
        <f t="shared" si="111"/>
        <v>4794.92</v>
      </c>
      <c r="R116" s="2">
        <f t="shared" si="111"/>
        <v>2766.57</v>
      </c>
      <c r="S116" s="2">
        <f t="shared" si="111"/>
        <v>16587.939999999999</v>
      </c>
      <c r="T116" s="2">
        <f t="shared" si="111"/>
        <v>0</v>
      </c>
      <c r="U116" s="2">
        <f>AH116</f>
        <v>54.452375999999994</v>
      </c>
      <c r="V116" s="2">
        <f>AI116</f>
        <v>0</v>
      </c>
      <c r="W116" s="2">
        <f>ROUND(AJ116,2)</f>
        <v>0</v>
      </c>
      <c r="X116" s="2">
        <f>ROUND(AK116,2)</f>
        <v>14929.15</v>
      </c>
      <c r="Y116" s="2">
        <f>ROUND(AL116,2)</f>
        <v>7132.81</v>
      </c>
      <c r="Z116" s="2"/>
      <c r="AA116" s="2"/>
      <c r="AB116" s="2">
        <f>ROUND(SUMIF(AA108:AA114,"=36226623",O108:O114),2)</f>
        <v>388767.51</v>
      </c>
      <c r="AC116" s="2">
        <f>ROUND(SUMIF(AA108:AA114,"=36226623",P108:P114),2)</f>
        <v>367384.65</v>
      </c>
      <c r="AD116" s="2">
        <f>ROUND(SUMIF(AA108:AA114,"=36226623",Q108:Q114),2)</f>
        <v>4794.92</v>
      </c>
      <c r="AE116" s="2">
        <f>ROUND(SUMIF(AA108:AA114,"=36226623",R108:R114),2)</f>
        <v>2766.57</v>
      </c>
      <c r="AF116" s="2">
        <f>ROUND(SUMIF(AA108:AA114,"=36226623",S108:S114),2)</f>
        <v>16587.939999999999</v>
      </c>
      <c r="AG116" s="2">
        <f>ROUND(SUMIF(AA108:AA114,"=36226623",T108:T114),2)</f>
        <v>0</v>
      </c>
      <c r="AH116" s="2">
        <f>SUMIF(AA108:AA114,"=36226623",U108:U114)</f>
        <v>54.452375999999994</v>
      </c>
      <c r="AI116" s="2">
        <f>SUMIF(AA108:AA114,"=36226623",V108:V114)</f>
        <v>0</v>
      </c>
      <c r="AJ116" s="2">
        <f>ROUND(SUMIF(AA108:AA114,"=36226623",W108:W114),2)</f>
        <v>0</v>
      </c>
      <c r="AK116" s="2">
        <f>ROUND(SUMIF(AA108:AA114,"=36226623",X108:X114),2)</f>
        <v>14929.15</v>
      </c>
      <c r="AL116" s="2">
        <f>ROUND(SUMIF(AA108:AA114,"=36226623",Y108:Y114),2)</f>
        <v>7132.81</v>
      </c>
      <c r="AM116" s="2"/>
      <c r="AN116" s="2"/>
      <c r="AO116" s="2">
        <f t="shared" ref="AO116:BD116" si="112">ROUND(BX116,2)</f>
        <v>0</v>
      </c>
      <c r="AP116" s="2">
        <f t="shared" si="112"/>
        <v>355271.01</v>
      </c>
      <c r="AQ116" s="2">
        <f t="shared" si="112"/>
        <v>0</v>
      </c>
      <c r="AR116" s="2">
        <f t="shared" si="112"/>
        <v>415172.98</v>
      </c>
      <c r="AS116" s="2">
        <f t="shared" si="112"/>
        <v>3894.73</v>
      </c>
      <c r="AT116" s="2">
        <f t="shared" si="112"/>
        <v>56007.24</v>
      </c>
      <c r="AU116" s="2">
        <f t="shared" si="112"/>
        <v>0</v>
      </c>
      <c r="AV116" s="2">
        <f t="shared" si="112"/>
        <v>367384.65</v>
      </c>
      <c r="AW116" s="2">
        <f t="shared" si="112"/>
        <v>12113.64</v>
      </c>
      <c r="AX116" s="2">
        <f t="shared" si="112"/>
        <v>0</v>
      </c>
      <c r="AY116" s="2">
        <f t="shared" si="112"/>
        <v>12113.64</v>
      </c>
      <c r="AZ116" s="2">
        <f t="shared" si="112"/>
        <v>355271.01</v>
      </c>
      <c r="BA116" s="2">
        <f t="shared" si="112"/>
        <v>0</v>
      </c>
      <c r="BB116" s="2">
        <f t="shared" si="112"/>
        <v>0</v>
      </c>
      <c r="BC116" s="2">
        <f t="shared" si="112"/>
        <v>0</v>
      </c>
      <c r="BD116" s="2">
        <f t="shared" si="112"/>
        <v>0</v>
      </c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>
        <f>ROUND(SUMIF(AA108:AA114,"=36226623",FQ108:FQ114),2)</f>
        <v>0</v>
      </c>
      <c r="BY116" s="2">
        <f>ROUND(SUMIF(AA108:AA114,"=36226623",FR108:FR114),2)</f>
        <v>355271.01</v>
      </c>
      <c r="BZ116" s="2">
        <f>ROUND(SUMIF(AA108:AA114,"=36226623",GL108:GL114),2)</f>
        <v>0</v>
      </c>
      <c r="CA116" s="2">
        <f>ROUND(SUMIF(AA108:AA114,"=36226623",GM108:GM114),2)</f>
        <v>415172.98</v>
      </c>
      <c r="CB116" s="2">
        <f>ROUND(SUMIF(AA108:AA114,"=36226623",GN108:GN114),2)</f>
        <v>3894.73</v>
      </c>
      <c r="CC116" s="2">
        <f>ROUND(SUMIF(AA108:AA114,"=36226623",GO108:GO114),2)</f>
        <v>56007.24</v>
      </c>
      <c r="CD116" s="2">
        <f>ROUND(SUMIF(AA108:AA114,"=36226623",GP108:GP114),2)</f>
        <v>0</v>
      </c>
      <c r="CE116" s="2">
        <f>AC116-BX116</f>
        <v>367384.65</v>
      </c>
      <c r="CF116" s="2">
        <f>AC116-BY116</f>
        <v>12113.640000000014</v>
      </c>
      <c r="CG116" s="2">
        <f>BX116-BZ116</f>
        <v>0</v>
      </c>
      <c r="CH116" s="2">
        <f>AC116-BX116-BY116+BZ116</f>
        <v>12113.640000000014</v>
      </c>
      <c r="CI116" s="2">
        <f>BY116-BZ116</f>
        <v>355271.01</v>
      </c>
      <c r="CJ116" s="2">
        <f>ROUND(SUMIF(AA108:AA114,"=36226623",GX108:GX114),2)</f>
        <v>0</v>
      </c>
      <c r="CK116" s="2">
        <f>ROUND(SUMIF(AA108:AA114,"=36226623",GY108:GY114),2)</f>
        <v>0</v>
      </c>
      <c r="CL116" s="2">
        <f>ROUND(SUMIF(AA108:AA114,"=36226623",GZ108:GZ114),2)</f>
        <v>0</v>
      </c>
      <c r="CM116" s="2">
        <f>ROUND(SUMIF(AA108:AA114,"=36226623",HD108:HD114),2)</f>
        <v>0</v>
      </c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>
        <v>0</v>
      </c>
    </row>
    <row r="118" spans="1:245" x14ac:dyDescent="0.2">
      <c r="A118" s="4">
        <v>50</v>
      </c>
      <c r="B118" s="4">
        <v>0</v>
      </c>
      <c r="C118" s="4">
        <v>0</v>
      </c>
      <c r="D118" s="4">
        <v>1</v>
      </c>
      <c r="E118" s="4">
        <v>201</v>
      </c>
      <c r="F118" s="4">
        <f>ROUND(Source!O116,O118)</f>
        <v>388767.51</v>
      </c>
      <c r="G118" s="4" t="s">
        <v>53</v>
      </c>
      <c r="H118" s="4" t="s">
        <v>54</v>
      </c>
      <c r="I118" s="4"/>
      <c r="J118" s="4"/>
      <c r="K118" s="4">
        <v>201</v>
      </c>
      <c r="L118" s="4">
        <v>1</v>
      </c>
      <c r="M118" s="4">
        <v>3</v>
      </c>
      <c r="N118" s="4" t="s">
        <v>3</v>
      </c>
      <c r="O118" s="4">
        <v>2</v>
      </c>
      <c r="P118" s="4"/>
      <c r="Q118" s="4"/>
      <c r="R118" s="4"/>
      <c r="S118" s="4"/>
      <c r="T118" s="4"/>
      <c r="U118" s="4"/>
      <c r="V118" s="4"/>
      <c r="W118" s="4"/>
    </row>
    <row r="119" spans="1:245" x14ac:dyDescent="0.2">
      <c r="A119" s="4">
        <v>50</v>
      </c>
      <c r="B119" s="4">
        <v>0</v>
      </c>
      <c r="C119" s="4">
        <v>0</v>
      </c>
      <c r="D119" s="4">
        <v>1</v>
      </c>
      <c r="E119" s="4">
        <v>202</v>
      </c>
      <c r="F119" s="4">
        <f>ROUND(Source!P116,O119)</f>
        <v>367384.65</v>
      </c>
      <c r="G119" s="4" t="s">
        <v>55</v>
      </c>
      <c r="H119" s="4" t="s">
        <v>56</v>
      </c>
      <c r="I119" s="4"/>
      <c r="J119" s="4"/>
      <c r="K119" s="4">
        <v>202</v>
      </c>
      <c r="L119" s="4">
        <v>2</v>
      </c>
      <c r="M119" s="4">
        <v>3</v>
      </c>
      <c r="N119" s="4" t="s">
        <v>3</v>
      </c>
      <c r="O119" s="4">
        <v>2</v>
      </c>
      <c r="P119" s="4"/>
      <c r="Q119" s="4"/>
      <c r="R119" s="4"/>
      <c r="S119" s="4"/>
      <c r="T119" s="4"/>
      <c r="U119" s="4"/>
      <c r="V119" s="4"/>
      <c r="W119" s="4"/>
    </row>
    <row r="120" spans="1:245" x14ac:dyDescent="0.2">
      <c r="A120" s="4">
        <v>50</v>
      </c>
      <c r="B120" s="4">
        <v>0</v>
      </c>
      <c r="C120" s="4">
        <v>0</v>
      </c>
      <c r="D120" s="4">
        <v>1</v>
      </c>
      <c r="E120" s="4">
        <v>222</v>
      </c>
      <c r="F120" s="4">
        <f>ROUND(Source!AO116,O120)</f>
        <v>0</v>
      </c>
      <c r="G120" s="4" t="s">
        <v>57</v>
      </c>
      <c r="H120" s="4" t="s">
        <v>58</v>
      </c>
      <c r="I120" s="4"/>
      <c r="J120" s="4"/>
      <c r="K120" s="4">
        <v>222</v>
      </c>
      <c r="L120" s="4">
        <v>3</v>
      </c>
      <c r="M120" s="4">
        <v>3</v>
      </c>
      <c r="N120" s="4" t="s">
        <v>3</v>
      </c>
      <c r="O120" s="4">
        <v>2</v>
      </c>
      <c r="P120" s="4"/>
      <c r="Q120" s="4"/>
      <c r="R120" s="4"/>
      <c r="S120" s="4"/>
      <c r="T120" s="4"/>
      <c r="U120" s="4"/>
      <c r="V120" s="4"/>
      <c r="W120" s="4"/>
    </row>
    <row r="121" spans="1:245" x14ac:dyDescent="0.2">
      <c r="A121" s="4">
        <v>50</v>
      </c>
      <c r="B121" s="4">
        <v>0</v>
      </c>
      <c r="C121" s="4">
        <v>0</v>
      </c>
      <c r="D121" s="4">
        <v>1</v>
      </c>
      <c r="E121" s="4">
        <v>225</v>
      </c>
      <c r="F121" s="4">
        <f>ROUND(Source!AV116,O121)</f>
        <v>367384.65</v>
      </c>
      <c r="G121" s="4" t="s">
        <v>59</v>
      </c>
      <c r="H121" s="4" t="s">
        <v>60</v>
      </c>
      <c r="I121" s="4"/>
      <c r="J121" s="4"/>
      <c r="K121" s="4">
        <v>225</v>
      </c>
      <c r="L121" s="4">
        <v>4</v>
      </c>
      <c r="M121" s="4">
        <v>3</v>
      </c>
      <c r="N121" s="4" t="s">
        <v>3</v>
      </c>
      <c r="O121" s="4">
        <v>2</v>
      </c>
      <c r="P121" s="4"/>
      <c r="Q121" s="4"/>
      <c r="R121" s="4"/>
      <c r="S121" s="4"/>
      <c r="T121" s="4"/>
      <c r="U121" s="4"/>
      <c r="V121" s="4"/>
      <c r="W121" s="4"/>
    </row>
    <row r="122" spans="1:245" x14ac:dyDescent="0.2">
      <c r="A122" s="4">
        <v>50</v>
      </c>
      <c r="B122" s="4">
        <v>0</v>
      </c>
      <c r="C122" s="4">
        <v>0</v>
      </c>
      <c r="D122" s="4">
        <v>1</v>
      </c>
      <c r="E122" s="4">
        <v>226</v>
      </c>
      <c r="F122" s="4">
        <f>ROUND(Source!AW116,O122)</f>
        <v>12113.64</v>
      </c>
      <c r="G122" s="4" t="s">
        <v>61</v>
      </c>
      <c r="H122" s="4" t="s">
        <v>62</v>
      </c>
      <c r="I122" s="4"/>
      <c r="J122" s="4"/>
      <c r="K122" s="4">
        <v>226</v>
      </c>
      <c r="L122" s="4">
        <v>5</v>
      </c>
      <c r="M122" s="4">
        <v>3</v>
      </c>
      <c r="N122" s="4" t="s">
        <v>3</v>
      </c>
      <c r="O122" s="4">
        <v>2</v>
      </c>
      <c r="P122" s="4"/>
      <c r="Q122" s="4"/>
      <c r="R122" s="4"/>
      <c r="S122" s="4"/>
      <c r="T122" s="4"/>
      <c r="U122" s="4"/>
      <c r="V122" s="4"/>
      <c r="W122" s="4"/>
    </row>
    <row r="123" spans="1:245" x14ac:dyDescent="0.2">
      <c r="A123" s="4">
        <v>50</v>
      </c>
      <c r="B123" s="4">
        <v>0</v>
      </c>
      <c r="C123" s="4">
        <v>0</v>
      </c>
      <c r="D123" s="4">
        <v>1</v>
      </c>
      <c r="E123" s="4">
        <v>227</v>
      </c>
      <c r="F123" s="4">
        <f>ROUND(Source!AX116,O123)</f>
        <v>0</v>
      </c>
      <c r="G123" s="4" t="s">
        <v>63</v>
      </c>
      <c r="H123" s="4" t="s">
        <v>64</v>
      </c>
      <c r="I123" s="4"/>
      <c r="J123" s="4"/>
      <c r="K123" s="4">
        <v>227</v>
      </c>
      <c r="L123" s="4">
        <v>6</v>
      </c>
      <c r="M123" s="4">
        <v>3</v>
      </c>
      <c r="N123" s="4" t="s">
        <v>3</v>
      </c>
      <c r="O123" s="4">
        <v>2</v>
      </c>
      <c r="P123" s="4"/>
      <c r="Q123" s="4"/>
      <c r="R123" s="4"/>
      <c r="S123" s="4"/>
      <c r="T123" s="4"/>
      <c r="U123" s="4"/>
      <c r="V123" s="4"/>
      <c r="W123" s="4"/>
    </row>
    <row r="124" spans="1:245" x14ac:dyDescent="0.2">
      <c r="A124" s="4">
        <v>50</v>
      </c>
      <c r="B124" s="4">
        <v>0</v>
      </c>
      <c r="C124" s="4">
        <v>0</v>
      </c>
      <c r="D124" s="4">
        <v>1</v>
      </c>
      <c r="E124" s="4">
        <v>228</v>
      </c>
      <c r="F124" s="4">
        <f>ROUND(Source!AY116,O124)</f>
        <v>12113.64</v>
      </c>
      <c r="G124" s="4" t="s">
        <v>65</v>
      </c>
      <c r="H124" s="4" t="s">
        <v>66</v>
      </c>
      <c r="I124" s="4"/>
      <c r="J124" s="4"/>
      <c r="K124" s="4">
        <v>228</v>
      </c>
      <c r="L124" s="4">
        <v>7</v>
      </c>
      <c r="M124" s="4">
        <v>3</v>
      </c>
      <c r="N124" s="4" t="s">
        <v>3</v>
      </c>
      <c r="O124" s="4">
        <v>2</v>
      </c>
      <c r="P124" s="4"/>
      <c r="Q124" s="4"/>
      <c r="R124" s="4"/>
      <c r="S124" s="4"/>
      <c r="T124" s="4"/>
      <c r="U124" s="4"/>
      <c r="V124" s="4"/>
      <c r="W124" s="4"/>
    </row>
    <row r="125" spans="1:245" x14ac:dyDescent="0.2">
      <c r="A125" s="4">
        <v>50</v>
      </c>
      <c r="B125" s="4">
        <v>0</v>
      </c>
      <c r="C125" s="4">
        <v>0</v>
      </c>
      <c r="D125" s="4">
        <v>1</v>
      </c>
      <c r="E125" s="4">
        <v>216</v>
      </c>
      <c r="F125" s="4">
        <f>ROUND(Source!AP116,O125)</f>
        <v>355271.01</v>
      </c>
      <c r="G125" s="4" t="s">
        <v>67</v>
      </c>
      <c r="H125" s="4" t="s">
        <v>68</v>
      </c>
      <c r="I125" s="4"/>
      <c r="J125" s="4"/>
      <c r="K125" s="4">
        <v>216</v>
      </c>
      <c r="L125" s="4">
        <v>8</v>
      </c>
      <c r="M125" s="4">
        <v>3</v>
      </c>
      <c r="N125" s="4" t="s">
        <v>3</v>
      </c>
      <c r="O125" s="4">
        <v>2</v>
      </c>
      <c r="P125" s="4"/>
      <c r="Q125" s="4"/>
      <c r="R125" s="4"/>
      <c r="S125" s="4"/>
      <c r="T125" s="4"/>
      <c r="U125" s="4"/>
      <c r="V125" s="4"/>
      <c r="W125" s="4"/>
    </row>
    <row r="126" spans="1:245" x14ac:dyDescent="0.2">
      <c r="A126" s="4">
        <v>50</v>
      </c>
      <c r="B126" s="4">
        <v>0</v>
      </c>
      <c r="C126" s="4">
        <v>0</v>
      </c>
      <c r="D126" s="4">
        <v>1</v>
      </c>
      <c r="E126" s="4">
        <v>223</v>
      </c>
      <c r="F126" s="4">
        <f>ROUND(Source!AQ116,O126)</f>
        <v>0</v>
      </c>
      <c r="G126" s="4" t="s">
        <v>69</v>
      </c>
      <c r="H126" s="4" t="s">
        <v>70</v>
      </c>
      <c r="I126" s="4"/>
      <c r="J126" s="4"/>
      <c r="K126" s="4">
        <v>223</v>
      </c>
      <c r="L126" s="4">
        <v>9</v>
      </c>
      <c r="M126" s="4">
        <v>3</v>
      </c>
      <c r="N126" s="4" t="s">
        <v>3</v>
      </c>
      <c r="O126" s="4">
        <v>2</v>
      </c>
      <c r="P126" s="4"/>
      <c r="Q126" s="4"/>
      <c r="R126" s="4"/>
      <c r="S126" s="4"/>
      <c r="T126" s="4"/>
      <c r="U126" s="4"/>
      <c r="V126" s="4"/>
      <c r="W126" s="4"/>
    </row>
    <row r="127" spans="1:245" x14ac:dyDescent="0.2">
      <c r="A127" s="4">
        <v>50</v>
      </c>
      <c r="B127" s="4">
        <v>0</v>
      </c>
      <c r="C127" s="4">
        <v>0</v>
      </c>
      <c r="D127" s="4">
        <v>1</v>
      </c>
      <c r="E127" s="4">
        <v>229</v>
      </c>
      <c r="F127" s="4">
        <f>ROUND(Source!AZ116,O127)</f>
        <v>355271.01</v>
      </c>
      <c r="G127" s="4" t="s">
        <v>71</v>
      </c>
      <c r="H127" s="4" t="s">
        <v>72</v>
      </c>
      <c r="I127" s="4"/>
      <c r="J127" s="4"/>
      <c r="K127" s="4">
        <v>229</v>
      </c>
      <c r="L127" s="4">
        <v>10</v>
      </c>
      <c r="M127" s="4">
        <v>3</v>
      </c>
      <c r="N127" s="4" t="s">
        <v>3</v>
      </c>
      <c r="O127" s="4">
        <v>2</v>
      </c>
      <c r="P127" s="4"/>
      <c r="Q127" s="4"/>
      <c r="R127" s="4"/>
      <c r="S127" s="4"/>
      <c r="T127" s="4"/>
      <c r="U127" s="4"/>
      <c r="V127" s="4"/>
      <c r="W127" s="4"/>
    </row>
    <row r="128" spans="1:245" x14ac:dyDescent="0.2">
      <c r="A128" s="4">
        <v>50</v>
      </c>
      <c r="B128" s="4">
        <v>0</v>
      </c>
      <c r="C128" s="4">
        <v>0</v>
      </c>
      <c r="D128" s="4">
        <v>1</v>
      </c>
      <c r="E128" s="4">
        <v>203</v>
      </c>
      <c r="F128" s="4">
        <f>ROUND(Source!Q116,O128)</f>
        <v>4794.92</v>
      </c>
      <c r="G128" s="4" t="s">
        <v>73</v>
      </c>
      <c r="H128" s="4" t="s">
        <v>74</v>
      </c>
      <c r="I128" s="4"/>
      <c r="J128" s="4"/>
      <c r="K128" s="4">
        <v>203</v>
      </c>
      <c r="L128" s="4">
        <v>11</v>
      </c>
      <c r="M128" s="4">
        <v>3</v>
      </c>
      <c r="N128" s="4" t="s">
        <v>3</v>
      </c>
      <c r="O128" s="4">
        <v>2</v>
      </c>
      <c r="P128" s="4"/>
      <c r="Q128" s="4"/>
      <c r="R128" s="4"/>
      <c r="S128" s="4"/>
      <c r="T128" s="4"/>
      <c r="U128" s="4"/>
      <c r="V128" s="4"/>
      <c r="W128" s="4"/>
    </row>
    <row r="129" spans="1:23" x14ac:dyDescent="0.2">
      <c r="A129" s="4">
        <v>50</v>
      </c>
      <c r="B129" s="4">
        <v>0</v>
      </c>
      <c r="C129" s="4">
        <v>0</v>
      </c>
      <c r="D129" s="4">
        <v>1</v>
      </c>
      <c r="E129" s="4">
        <v>231</v>
      </c>
      <c r="F129" s="4">
        <f>ROUND(Source!BB116,O129)</f>
        <v>0</v>
      </c>
      <c r="G129" s="4" t="s">
        <v>75</v>
      </c>
      <c r="H129" s="4" t="s">
        <v>76</v>
      </c>
      <c r="I129" s="4"/>
      <c r="J129" s="4"/>
      <c r="K129" s="4">
        <v>231</v>
      </c>
      <c r="L129" s="4">
        <v>12</v>
      </c>
      <c r="M129" s="4">
        <v>3</v>
      </c>
      <c r="N129" s="4" t="s">
        <v>3</v>
      </c>
      <c r="O129" s="4">
        <v>2</v>
      </c>
      <c r="P129" s="4"/>
      <c r="Q129" s="4"/>
      <c r="R129" s="4"/>
      <c r="S129" s="4"/>
      <c r="T129" s="4"/>
      <c r="U129" s="4"/>
      <c r="V129" s="4"/>
      <c r="W129" s="4"/>
    </row>
    <row r="130" spans="1:23" x14ac:dyDescent="0.2">
      <c r="A130" s="4">
        <v>50</v>
      </c>
      <c r="B130" s="4">
        <v>0</v>
      </c>
      <c r="C130" s="4">
        <v>0</v>
      </c>
      <c r="D130" s="4">
        <v>1</v>
      </c>
      <c r="E130" s="4">
        <v>204</v>
      </c>
      <c r="F130" s="4">
        <f>ROUND(Source!R116,O130)</f>
        <v>2766.57</v>
      </c>
      <c r="G130" s="4" t="s">
        <v>77</v>
      </c>
      <c r="H130" s="4" t="s">
        <v>78</v>
      </c>
      <c r="I130" s="4"/>
      <c r="J130" s="4"/>
      <c r="K130" s="4">
        <v>204</v>
      </c>
      <c r="L130" s="4">
        <v>13</v>
      </c>
      <c r="M130" s="4">
        <v>3</v>
      </c>
      <c r="N130" s="4" t="s">
        <v>3</v>
      </c>
      <c r="O130" s="4">
        <v>2</v>
      </c>
      <c r="P130" s="4"/>
      <c r="Q130" s="4"/>
      <c r="R130" s="4"/>
      <c r="S130" s="4"/>
      <c r="T130" s="4"/>
      <c r="U130" s="4"/>
      <c r="V130" s="4"/>
      <c r="W130" s="4"/>
    </row>
    <row r="131" spans="1:23" x14ac:dyDescent="0.2">
      <c r="A131" s="4">
        <v>50</v>
      </c>
      <c r="B131" s="4">
        <v>0</v>
      </c>
      <c r="C131" s="4">
        <v>0</v>
      </c>
      <c r="D131" s="4">
        <v>1</v>
      </c>
      <c r="E131" s="4">
        <v>205</v>
      </c>
      <c r="F131" s="4">
        <f>ROUND(Source!S116,O131)</f>
        <v>16587.939999999999</v>
      </c>
      <c r="G131" s="4" t="s">
        <v>79</v>
      </c>
      <c r="H131" s="4" t="s">
        <v>80</v>
      </c>
      <c r="I131" s="4"/>
      <c r="J131" s="4"/>
      <c r="K131" s="4">
        <v>205</v>
      </c>
      <c r="L131" s="4">
        <v>14</v>
      </c>
      <c r="M131" s="4">
        <v>3</v>
      </c>
      <c r="N131" s="4" t="s">
        <v>3</v>
      </c>
      <c r="O131" s="4">
        <v>2</v>
      </c>
      <c r="P131" s="4"/>
      <c r="Q131" s="4"/>
      <c r="R131" s="4"/>
      <c r="S131" s="4"/>
      <c r="T131" s="4"/>
      <c r="U131" s="4"/>
      <c r="V131" s="4"/>
      <c r="W131" s="4"/>
    </row>
    <row r="132" spans="1:23" x14ac:dyDescent="0.2">
      <c r="A132" s="4">
        <v>50</v>
      </c>
      <c r="B132" s="4">
        <v>0</v>
      </c>
      <c r="C132" s="4">
        <v>0</v>
      </c>
      <c r="D132" s="4">
        <v>1</v>
      </c>
      <c r="E132" s="4">
        <v>232</v>
      </c>
      <c r="F132" s="4">
        <f>ROUND(Source!BC116,O132)</f>
        <v>0</v>
      </c>
      <c r="G132" s="4" t="s">
        <v>81</v>
      </c>
      <c r="H132" s="4" t="s">
        <v>82</v>
      </c>
      <c r="I132" s="4"/>
      <c r="J132" s="4"/>
      <c r="K132" s="4">
        <v>232</v>
      </c>
      <c r="L132" s="4">
        <v>15</v>
      </c>
      <c r="M132" s="4">
        <v>3</v>
      </c>
      <c r="N132" s="4" t="s">
        <v>3</v>
      </c>
      <c r="O132" s="4">
        <v>2</v>
      </c>
      <c r="P132" s="4"/>
      <c r="Q132" s="4"/>
      <c r="R132" s="4"/>
      <c r="S132" s="4"/>
      <c r="T132" s="4"/>
      <c r="U132" s="4"/>
      <c r="V132" s="4"/>
      <c r="W132" s="4"/>
    </row>
    <row r="133" spans="1:23" x14ac:dyDescent="0.2">
      <c r="A133" s="4">
        <v>50</v>
      </c>
      <c r="B133" s="4">
        <v>0</v>
      </c>
      <c r="C133" s="4">
        <v>0</v>
      </c>
      <c r="D133" s="4">
        <v>1</v>
      </c>
      <c r="E133" s="4">
        <v>214</v>
      </c>
      <c r="F133" s="4">
        <f>ROUND(Source!AS116,O133)</f>
        <v>3894.73</v>
      </c>
      <c r="G133" s="4" t="s">
        <v>83</v>
      </c>
      <c r="H133" s="4" t="s">
        <v>84</v>
      </c>
      <c r="I133" s="4"/>
      <c r="J133" s="4"/>
      <c r="K133" s="4">
        <v>214</v>
      </c>
      <c r="L133" s="4">
        <v>16</v>
      </c>
      <c r="M133" s="4">
        <v>3</v>
      </c>
      <c r="N133" s="4" t="s">
        <v>3</v>
      </c>
      <c r="O133" s="4">
        <v>2</v>
      </c>
      <c r="P133" s="4"/>
      <c r="Q133" s="4"/>
      <c r="R133" s="4"/>
      <c r="S133" s="4"/>
      <c r="T133" s="4"/>
      <c r="U133" s="4"/>
      <c r="V133" s="4"/>
      <c r="W133" s="4"/>
    </row>
    <row r="134" spans="1:23" x14ac:dyDescent="0.2">
      <c r="A134" s="4">
        <v>50</v>
      </c>
      <c r="B134" s="4">
        <v>0</v>
      </c>
      <c r="C134" s="4">
        <v>0</v>
      </c>
      <c r="D134" s="4">
        <v>1</v>
      </c>
      <c r="E134" s="4">
        <v>215</v>
      </c>
      <c r="F134" s="4">
        <f>ROUND(Source!AT116,O134)</f>
        <v>56007.24</v>
      </c>
      <c r="G134" s="4" t="s">
        <v>85</v>
      </c>
      <c r="H134" s="4" t="s">
        <v>86</v>
      </c>
      <c r="I134" s="4"/>
      <c r="J134" s="4"/>
      <c r="K134" s="4">
        <v>215</v>
      </c>
      <c r="L134" s="4">
        <v>17</v>
      </c>
      <c r="M134" s="4">
        <v>3</v>
      </c>
      <c r="N134" s="4" t="s">
        <v>3</v>
      </c>
      <c r="O134" s="4">
        <v>2</v>
      </c>
      <c r="P134" s="4"/>
      <c r="Q134" s="4"/>
      <c r="R134" s="4"/>
      <c r="S134" s="4"/>
      <c r="T134" s="4"/>
      <c r="U134" s="4"/>
      <c r="V134" s="4"/>
      <c r="W134" s="4"/>
    </row>
    <row r="135" spans="1:23" x14ac:dyDescent="0.2">
      <c r="A135" s="4">
        <v>50</v>
      </c>
      <c r="B135" s="4">
        <v>0</v>
      </c>
      <c r="C135" s="4">
        <v>0</v>
      </c>
      <c r="D135" s="4">
        <v>1</v>
      </c>
      <c r="E135" s="4">
        <v>217</v>
      </c>
      <c r="F135" s="4">
        <f>ROUND(Source!AU116,O135)</f>
        <v>0</v>
      </c>
      <c r="G135" s="4" t="s">
        <v>87</v>
      </c>
      <c r="H135" s="4" t="s">
        <v>88</v>
      </c>
      <c r="I135" s="4"/>
      <c r="J135" s="4"/>
      <c r="K135" s="4">
        <v>217</v>
      </c>
      <c r="L135" s="4">
        <v>18</v>
      </c>
      <c r="M135" s="4">
        <v>3</v>
      </c>
      <c r="N135" s="4" t="s">
        <v>3</v>
      </c>
      <c r="O135" s="4">
        <v>2</v>
      </c>
      <c r="P135" s="4"/>
      <c r="Q135" s="4"/>
      <c r="R135" s="4"/>
      <c r="S135" s="4"/>
      <c r="T135" s="4"/>
      <c r="U135" s="4"/>
      <c r="V135" s="4"/>
      <c r="W135" s="4"/>
    </row>
    <row r="136" spans="1:23" x14ac:dyDescent="0.2">
      <c r="A136" s="4">
        <v>50</v>
      </c>
      <c r="B136" s="4">
        <v>0</v>
      </c>
      <c r="C136" s="4">
        <v>0</v>
      </c>
      <c r="D136" s="4">
        <v>1</v>
      </c>
      <c r="E136" s="4">
        <v>230</v>
      </c>
      <c r="F136" s="4">
        <f>ROUND(Source!BA116,O136)</f>
        <v>0</v>
      </c>
      <c r="G136" s="4" t="s">
        <v>89</v>
      </c>
      <c r="H136" s="4" t="s">
        <v>90</v>
      </c>
      <c r="I136" s="4"/>
      <c r="J136" s="4"/>
      <c r="K136" s="4">
        <v>230</v>
      </c>
      <c r="L136" s="4">
        <v>19</v>
      </c>
      <c r="M136" s="4">
        <v>3</v>
      </c>
      <c r="N136" s="4" t="s">
        <v>3</v>
      </c>
      <c r="O136" s="4">
        <v>2</v>
      </c>
      <c r="P136" s="4"/>
      <c r="Q136" s="4"/>
      <c r="R136" s="4"/>
      <c r="S136" s="4"/>
      <c r="T136" s="4"/>
      <c r="U136" s="4"/>
      <c r="V136" s="4"/>
      <c r="W136" s="4"/>
    </row>
    <row r="137" spans="1:23" x14ac:dyDescent="0.2">
      <c r="A137" s="4">
        <v>50</v>
      </c>
      <c r="B137" s="4">
        <v>0</v>
      </c>
      <c r="C137" s="4">
        <v>0</v>
      </c>
      <c r="D137" s="4">
        <v>1</v>
      </c>
      <c r="E137" s="4">
        <v>206</v>
      </c>
      <c r="F137" s="4">
        <f>ROUND(Source!T116,O137)</f>
        <v>0</v>
      </c>
      <c r="G137" s="4" t="s">
        <v>91</v>
      </c>
      <c r="H137" s="4" t="s">
        <v>92</v>
      </c>
      <c r="I137" s="4"/>
      <c r="J137" s="4"/>
      <c r="K137" s="4">
        <v>206</v>
      </c>
      <c r="L137" s="4">
        <v>20</v>
      </c>
      <c r="M137" s="4">
        <v>3</v>
      </c>
      <c r="N137" s="4" t="s">
        <v>3</v>
      </c>
      <c r="O137" s="4">
        <v>2</v>
      </c>
      <c r="P137" s="4"/>
      <c r="Q137" s="4"/>
      <c r="R137" s="4"/>
      <c r="S137" s="4"/>
      <c r="T137" s="4"/>
      <c r="U137" s="4"/>
      <c r="V137" s="4"/>
      <c r="W137" s="4"/>
    </row>
    <row r="138" spans="1:23" x14ac:dyDescent="0.2">
      <c r="A138" s="4">
        <v>50</v>
      </c>
      <c r="B138" s="4">
        <v>0</v>
      </c>
      <c r="C138" s="4">
        <v>0</v>
      </c>
      <c r="D138" s="4">
        <v>1</v>
      </c>
      <c r="E138" s="4">
        <v>207</v>
      </c>
      <c r="F138" s="4">
        <f>Source!U116</f>
        <v>54.452375999999994</v>
      </c>
      <c r="G138" s="4" t="s">
        <v>93</v>
      </c>
      <c r="H138" s="4" t="s">
        <v>94</v>
      </c>
      <c r="I138" s="4"/>
      <c r="J138" s="4"/>
      <c r="K138" s="4">
        <v>207</v>
      </c>
      <c r="L138" s="4">
        <v>21</v>
      </c>
      <c r="M138" s="4">
        <v>3</v>
      </c>
      <c r="N138" s="4" t="s">
        <v>3</v>
      </c>
      <c r="O138" s="4">
        <v>-1</v>
      </c>
      <c r="P138" s="4"/>
      <c r="Q138" s="4"/>
      <c r="R138" s="4"/>
      <c r="S138" s="4"/>
      <c r="T138" s="4"/>
      <c r="U138" s="4"/>
      <c r="V138" s="4"/>
      <c r="W138" s="4"/>
    </row>
    <row r="139" spans="1:23" x14ac:dyDescent="0.2">
      <c r="A139" s="4">
        <v>50</v>
      </c>
      <c r="B139" s="4">
        <v>0</v>
      </c>
      <c r="C139" s="4">
        <v>0</v>
      </c>
      <c r="D139" s="4">
        <v>1</v>
      </c>
      <c r="E139" s="4">
        <v>208</v>
      </c>
      <c r="F139" s="4">
        <f>Source!V116</f>
        <v>0</v>
      </c>
      <c r="G139" s="4" t="s">
        <v>95</v>
      </c>
      <c r="H139" s="4" t="s">
        <v>96</v>
      </c>
      <c r="I139" s="4"/>
      <c r="J139" s="4"/>
      <c r="K139" s="4">
        <v>208</v>
      </c>
      <c r="L139" s="4">
        <v>22</v>
      </c>
      <c r="M139" s="4">
        <v>3</v>
      </c>
      <c r="N139" s="4" t="s">
        <v>3</v>
      </c>
      <c r="O139" s="4">
        <v>-1</v>
      </c>
      <c r="P139" s="4"/>
      <c r="Q139" s="4"/>
      <c r="R139" s="4"/>
      <c r="S139" s="4"/>
      <c r="T139" s="4"/>
      <c r="U139" s="4"/>
      <c r="V139" s="4"/>
      <c r="W139" s="4"/>
    </row>
    <row r="140" spans="1:23" x14ac:dyDescent="0.2">
      <c r="A140" s="4">
        <v>50</v>
      </c>
      <c r="B140" s="4">
        <v>0</v>
      </c>
      <c r="C140" s="4">
        <v>0</v>
      </c>
      <c r="D140" s="4">
        <v>1</v>
      </c>
      <c r="E140" s="4">
        <v>209</v>
      </c>
      <c r="F140" s="4">
        <f>ROUND(Source!W116,O140)</f>
        <v>0</v>
      </c>
      <c r="G140" s="4" t="s">
        <v>97</v>
      </c>
      <c r="H140" s="4" t="s">
        <v>98</v>
      </c>
      <c r="I140" s="4"/>
      <c r="J140" s="4"/>
      <c r="K140" s="4">
        <v>209</v>
      </c>
      <c r="L140" s="4">
        <v>23</v>
      </c>
      <c r="M140" s="4">
        <v>3</v>
      </c>
      <c r="N140" s="4" t="s">
        <v>3</v>
      </c>
      <c r="O140" s="4">
        <v>2</v>
      </c>
      <c r="P140" s="4"/>
      <c r="Q140" s="4"/>
      <c r="R140" s="4"/>
      <c r="S140" s="4"/>
      <c r="T140" s="4"/>
      <c r="U140" s="4"/>
      <c r="V140" s="4"/>
      <c r="W140" s="4"/>
    </row>
    <row r="141" spans="1:23" x14ac:dyDescent="0.2">
      <c r="A141" s="4">
        <v>50</v>
      </c>
      <c r="B141" s="4">
        <v>0</v>
      </c>
      <c r="C141" s="4">
        <v>0</v>
      </c>
      <c r="D141" s="4">
        <v>1</v>
      </c>
      <c r="E141" s="4">
        <v>233</v>
      </c>
      <c r="F141" s="4">
        <f>ROUND(Source!BD116,O141)</f>
        <v>0</v>
      </c>
      <c r="G141" s="4" t="s">
        <v>99</v>
      </c>
      <c r="H141" s="4" t="s">
        <v>100</v>
      </c>
      <c r="I141" s="4"/>
      <c r="J141" s="4"/>
      <c r="K141" s="4">
        <v>233</v>
      </c>
      <c r="L141" s="4">
        <v>24</v>
      </c>
      <c r="M141" s="4">
        <v>3</v>
      </c>
      <c r="N141" s="4" t="s">
        <v>3</v>
      </c>
      <c r="O141" s="4">
        <v>2</v>
      </c>
      <c r="P141" s="4"/>
      <c r="Q141" s="4"/>
      <c r="R141" s="4"/>
      <c r="S141" s="4"/>
      <c r="T141" s="4"/>
      <c r="U141" s="4"/>
      <c r="V141" s="4"/>
      <c r="W141" s="4"/>
    </row>
    <row r="142" spans="1:23" x14ac:dyDescent="0.2">
      <c r="A142" s="4">
        <v>50</v>
      </c>
      <c r="B142" s="4">
        <v>0</v>
      </c>
      <c r="C142" s="4">
        <v>0</v>
      </c>
      <c r="D142" s="4">
        <v>1</v>
      </c>
      <c r="E142" s="4">
        <v>210</v>
      </c>
      <c r="F142" s="4">
        <f>ROUND(Source!X116,O142)</f>
        <v>14929.15</v>
      </c>
      <c r="G142" s="4" t="s">
        <v>101</v>
      </c>
      <c r="H142" s="4" t="s">
        <v>102</v>
      </c>
      <c r="I142" s="4"/>
      <c r="J142" s="4"/>
      <c r="K142" s="4">
        <v>210</v>
      </c>
      <c r="L142" s="4">
        <v>25</v>
      </c>
      <c r="M142" s="4">
        <v>3</v>
      </c>
      <c r="N142" s="4" t="s">
        <v>3</v>
      </c>
      <c r="O142" s="4">
        <v>2</v>
      </c>
      <c r="P142" s="4"/>
      <c r="Q142" s="4"/>
      <c r="R142" s="4"/>
      <c r="S142" s="4"/>
      <c r="T142" s="4"/>
      <c r="U142" s="4"/>
      <c r="V142" s="4"/>
      <c r="W142" s="4"/>
    </row>
    <row r="143" spans="1:23" x14ac:dyDescent="0.2">
      <c r="A143" s="4">
        <v>50</v>
      </c>
      <c r="B143" s="4">
        <v>0</v>
      </c>
      <c r="C143" s="4">
        <v>0</v>
      </c>
      <c r="D143" s="4">
        <v>1</v>
      </c>
      <c r="E143" s="4">
        <v>211</v>
      </c>
      <c r="F143" s="4">
        <f>ROUND(Source!Y116,O143)</f>
        <v>7132.81</v>
      </c>
      <c r="G143" s="4" t="s">
        <v>103</v>
      </c>
      <c r="H143" s="4" t="s">
        <v>104</v>
      </c>
      <c r="I143" s="4"/>
      <c r="J143" s="4"/>
      <c r="K143" s="4">
        <v>211</v>
      </c>
      <c r="L143" s="4">
        <v>26</v>
      </c>
      <c r="M143" s="4">
        <v>3</v>
      </c>
      <c r="N143" s="4" t="s">
        <v>3</v>
      </c>
      <c r="O143" s="4">
        <v>2</v>
      </c>
      <c r="P143" s="4"/>
      <c r="Q143" s="4"/>
      <c r="R143" s="4"/>
      <c r="S143" s="4"/>
      <c r="T143" s="4"/>
      <c r="U143" s="4"/>
      <c r="V143" s="4"/>
      <c r="W143" s="4"/>
    </row>
    <row r="144" spans="1:23" x14ac:dyDescent="0.2">
      <c r="A144" s="4">
        <v>50</v>
      </c>
      <c r="B144" s="4">
        <v>0</v>
      </c>
      <c r="C144" s="4">
        <v>0</v>
      </c>
      <c r="D144" s="4">
        <v>1</v>
      </c>
      <c r="E144" s="4">
        <v>224</v>
      </c>
      <c r="F144" s="4">
        <f>ROUND(Source!AR116,O144)</f>
        <v>415172.98</v>
      </c>
      <c r="G144" s="4" t="s">
        <v>105</v>
      </c>
      <c r="H144" s="4" t="s">
        <v>106</v>
      </c>
      <c r="I144" s="4"/>
      <c r="J144" s="4"/>
      <c r="K144" s="4">
        <v>224</v>
      </c>
      <c r="L144" s="4">
        <v>27</v>
      </c>
      <c r="M144" s="4">
        <v>3</v>
      </c>
      <c r="N144" s="4" t="s">
        <v>3</v>
      </c>
      <c r="O144" s="4">
        <v>2</v>
      </c>
      <c r="P144" s="4"/>
      <c r="Q144" s="4"/>
      <c r="R144" s="4"/>
      <c r="S144" s="4"/>
      <c r="T144" s="4"/>
      <c r="U144" s="4"/>
      <c r="V144" s="4"/>
      <c r="W144" s="4"/>
    </row>
    <row r="146" spans="1:245" x14ac:dyDescent="0.2">
      <c r="A146" s="1">
        <v>4</v>
      </c>
      <c r="B146" s="1">
        <v>1</v>
      </c>
      <c r="C146" s="1"/>
      <c r="D146" s="1">
        <f>ROW(A159)</f>
        <v>159</v>
      </c>
      <c r="E146" s="1"/>
      <c r="F146" s="1" t="s">
        <v>39</v>
      </c>
      <c r="G146" s="1" t="s">
        <v>161</v>
      </c>
      <c r="H146" s="1" t="s">
        <v>3</v>
      </c>
      <c r="I146" s="1">
        <v>0</v>
      </c>
      <c r="J146" s="1"/>
      <c r="K146" s="1">
        <v>-1</v>
      </c>
      <c r="L146" s="1"/>
      <c r="M146" s="1"/>
      <c r="N146" s="1"/>
      <c r="O146" s="1"/>
      <c r="P146" s="1"/>
      <c r="Q146" s="1"/>
      <c r="R146" s="1"/>
      <c r="S146" s="1"/>
      <c r="T146" s="1"/>
      <c r="U146" s="1" t="s">
        <v>3</v>
      </c>
      <c r="V146" s="1">
        <v>0</v>
      </c>
      <c r="W146" s="1"/>
      <c r="X146" s="1"/>
      <c r="Y146" s="1"/>
      <c r="Z146" s="1"/>
      <c r="AA146" s="1"/>
      <c r="AB146" s="1" t="s">
        <v>3</v>
      </c>
      <c r="AC146" s="1" t="s">
        <v>3</v>
      </c>
      <c r="AD146" s="1" t="s">
        <v>3</v>
      </c>
      <c r="AE146" s="1" t="s">
        <v>3</v>
      </c>
      <c r="AF146" s="1" t="s">
        <v>3</v>
      </c>
      <c r="AG146" s="1" t="s">
        <v>3</v>
      </c>
      <c r="AH146" s="1"/>
      <c r="AI146" s="1"/>
      <c r="AJ146" s="1"/>
      <c r="AK146" s="1"/>
      <c r="AL146" s="1"/>
      <c r="AM146" s="1"/>
      <c r="AN146" s="1"/>
      <c r="AO146" s="1"/>
      <c r="AP146" s="1" t="s">
        <v>3</v>
      </c>
      <c r="AQ146" s="1" t="s">
        <v>3</v>
      </c>
      <c r="AR146" s="1" t="s">
        <v>3</v>
      </c>
      <c r="AS146" s="1"/>
      <c r="AT146" s="1"/>
      <c r="AU146" s="1"/>
      <c r="AV146" s="1"/>
      <c r="AW146" s="1"/>
      <c r="AX146" s="1"/>
      <c r="AY146" s="1"/>
      <c r="AZ146" s="1" t="s">
        <v>3</v>
      </c>
      <c r="BA146" s="1"/>
      <c r="BB146" s="1" t="s">
        <v>3</v>
      </c>
      <c r="BC146" s="1" t="s">
        <v>3</v>
      </c>
      <c r="BD146" s="1" t="s">
        <v>3</v>
      </c>
      <c r="BE146" s="1" t="s">
        <v>3</v>
      </c>
      <c r="BF146" s="1" t="s">
        <v>3</v>
      </c>
      <c r="BG146" s="1" t="s">
        <v>3</v>
      </c>
      <c r="BH146" s="1" t="s">
        <v>3</v>
      </c>
      <c r="BI146" s="1" t="s">
        <v>3</v>
      </c>
      <c r="BJ146" s="1" t="s">
        <v>3</v>
      </c>
      <c r="BK146" s="1" t="s">
        <v>3</v>
      </c>
      <c r="BL146" s="1" t="s">
        <v>3</v>
      </c>
      <c r="BM146" s="1" t="s">
        <v>3</v>
      </c>
      <c r="BN146" s="1" t="s">
        <v>3</v>
      </c>
      <c r="BO146" s="1" t="s">
        <v>3</v>
      </c>
      <c r="BP146" s="1" t="s">
        <v>3</v>
      </c>
      <c r="BQ146" s="1"/>
      <c r="BR146" s="1"/>
      <c r="BS146" s="1"/>
      <c r="BT146" s="1"/>
      <c r="BU146" s="1"/>
      <c r="BV146" s="1"/>
      <c r="BW146" s="1"/>
      <c r="BX146" s="1">
        <v>0</v>
      </c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>
        <v>0</v>
      </c>
    </row>
    <row r="148" spans="1:245" x14ac:dyDescent="0.2">
      <c r="A148" s="2">
        <v>52</v>
      </c>
      <c r="B148" s="2">
        <f t="shared" ref="B148:G148" si="113">B159</f>
        <v>1</v>
      </c>
      <c r="C148" s="2">
        <f t="shared" si="113"/>
        <v>4</v>
      </c>
      <c r="D148" s="2">
        <f t="shared" si="113"/>
        <v>146</v>
      </c>
      <c r="E148" s="2">
        <f t="shared" si="113"/>
        <v>0</v>
      </c>
      <c r="F148" s="2" t="str">
        <f t="shared" si="113"/>
        <v>4</v>
      </c>
      <c r="G148" s="2" t="str">
        <f t="shared" si="113"/>
        <v>Пусконаладочные работы</v>
      </c>
      <c r="H148" s="2"/>
      <c r="I148" s="2"/>
      <c r="J148" s="2"/>
      <c r="K148" s="2"/>
      <c r="L148" s="2"/>
      <c r="M148" s="2"/>
      <c r="N148" s="2"/>
      <c r="O148" s="2">
        <f t="shared" ref="O148:AT148" si="114">O159</f>
        <v>23988.68</v>
      </c>
      <c r="P148" s="2">
        <f t="shared" si="114"/>
        <v>0</v>
      </c>
      <c r="Q148" s="2">
        <f t="shared" si="114"/>
        <v>0</v>
      </c>
      <c r="R148" s="2">
        <f t="shared" si="114"/>
        <v>0</v>
      </c>
      <c r="S148" s="2">
        <f t="shared" si="114"/>
        <v>23988.68</v>
      </c>
      <c r="T148" s="2">
        <f t="shared" si="114"/>
        <v>0</v>
      </c>
      <c r="U148" s="2">
        <f t="shared" si="114"/>
        <v>65.767999999999986</v>
      </c>
      <c r="V148" s="2">
        <f t="shared" si="114"/>
        <v>0</v>
      </c>
      <c r="W148" s="2">
        <f t="shared" si="114"/>
        <v>0</v>
      </c>
      <c r="X148" s="2">
        <f t="shared" si="114"/>
        <v>16312.3</v>
      </c>
      <c r="Y148" s="2">
        <f t="shared" si="114"/>
        <v>9835.36</v>
      </c>
      <c r="Z148" s="2">
        <f t="shared" si="114"/>
        <v>0</v>
      </c>
      <c r="AA148" s="2">
        <f t="shared" si="114"/>
        <v>0</v>
      </c>
      <c r="AB148" s="2">
        <f t="shared" si="114"/>
        <v>23988.68</v>
      </c>
      <c r="AC148" s="2">
        <f t="shared" si="114"/>
        <v>0</v>
      </c>
      <c r="AD148" s="2">
        <f t="shared" si="114"/>
        <v>0</v>
      </c>
      <c r="AE148" s="2">
        <f t="shared" si="114"/>
        <v>0</v>
      </c>
      <c r="AF148" s="2">
        <f t="shared" si="114"/>
        <v>23988.68</v>
      </c>
      <c r="AG148" s="2">
        <f t="shared" si="114"/>
        <v>0</v>
      </c>
      <c r="AH148" s="2">
        <f t="shared" si="114"/>
        <v>65.767999999999986</v>
      </c>
      <c r="AI148" s="2">
        <f t="shared" si="114"/>
        <v>0</v>
      </c>
      <c r="AJ148" s="2">
        <f t="shared" si="114"/>
        <v>0</v>
      </c>
      <c r="AK148" s="2">
        <f t="shared" si="114"/>
        <v>16312.3</v>
      </c>
      <c r="AL148" s="2">
        <f t="shared" si="114"/>
        <v>9835.36</v>
      </c>
      <c r="AM148" s="2">
        <f t="shared" si="114"/>
        <v>0</v>
      </c>
      <c r="AN148" s="2">
        <f t="shared" si="114"/>
        <v>0</v>
      </c>
      <c r="AO148" s="2">
        <f t="shared" si="114"/>
        <v>0</v>
      </c>
      <c r="AP148" s="2">
        <f t="shared" si="114"/>
        <v>0</v>
      </c>
      <c r="AQ148" s="2">
        <f t="shared" si="114"/>
        <v>0</v>
      </c>
      <c r="AR148" s="2">
        <f t="shared" si="114"/>
        <v>50136.34</v>
      </c>
      <c r="AS148" s="2">
        <f t="shared" si="114"/>
        <v>0</v>
      </c>
      <c r="AT148" s="2">
        <f t="shared" si="114"/>
        <v>0</v>
      </c>
      <c r="AU148" s="2">
        <f t="shared" ref="AU148:BZ148" si="115">AU159</f>
        <v>50136.34</v>
      </c>
      <c r="AV148" s="2">
        <f t="shared" si="115"/>
        <v>0</v>
      </c>
      <c r="AW148" s="2">
        <f t="shared" si="115"/>
        <v>0</v>
      </c>
      <c r="AX148" s="2">
        <f t="shared" si="115"/>
        <v>0</v>
      </c>
      <c r="AY148" s="2">
        <f t="shared" si="115"/>
        <v>0</v>
      </c>
      <c r="AZ148" s="2">
        <f t="shared" si="115"/>
        <v>0</v>
      </c>
      <c r="BA148" s="2">
        <f t="shared" si="115"/>
        <v>0</v>
      </c>
      <c r="BB148" s="2">
        <f t="shared" si="115"/>
        <v>0</v>
      </c>
      <c r="BC148" s="2">
        <f t="shared" si="115"/>
        <v>0</v>
      </c>
      <c r="BD148" s="2">
        <f t="shared" si="115"/>
        <v>0</v>
      </c>
      <c r="BE148" s="2">
        <f t="shared" si="115"/>
        <v>0</v>
      </c>
      <c r="BF148" s="2">
        <f t="shared" si="115"/>
        <v>0</v>
      </c>
      <c r="BG148" s="2">
        <f t="shared" si="115"/>
        <v>0</v>
      </c>
      <c r="BH148" s="2">
        <f t="shared" si="115"/>
        <v>0</v>
      </c>
      <c r="BI148" s="2">
        <f t="shared" si="115"/>
        <v>0</v>
      </c>
      <c r="BJ148" s="2">
        <f t="shared" si="115"/>
        <v>0</v>
      </c>
      <c r="BK148" s="2">
        <f t="shared" si="115"/>
        <v>0</v>
      </c>
      <c r="BL148" s="2">
        <f t="shared" si="115"/>
        <v>0</v>
      </c>
      <c r="BM148" s="2">
        <f t="shared" si="115"/>
        <v>0</v>
      </c>
      <c r="BN148" s="2">
        <f t="shared" si="115"/>
        <v>0</v>
      </c>
      <c r="BO148" s="2">
        <f t="shared" si="115"/>
        <v>0</v>
      </c>
      <c r="BP148" s="2">
        <f t="shared" si="115"/>
        <v>0</v>
      </c>
      <c r="BQ148" s="2">
        <f t="shared" si="115"/>
        <v>0</v>
      </c>
      <c r="BR148" s="2">
        <f t="shared" si="115"/>
        <v>0</v>
      </c>
      <c r="BS148" s="2">
        <f t="shared" si="115"/>
        <v>0</v>
      </c>
      <c r="BT148" s="2">
        <f t="shared" si="115"/>
        <v>0</v>
      </c>
      <c r="BU148" s="2">
        <f t="shared" si="115"/>
        <v>0</v>
      </c>
      <c r="BV148" s="2">
        <f t="shared" si="115"/>
        <v>0</v>
      </c>
      <c r="BW148" s="2">
        <f t="shared" si="115"/>
        <v>0</v>
      </c>
      <c r="BX148" s="2">
        <f t="shared" si="115"/>
        <v>0</v>
      </c>
      <c r="BY148" s="2">
        <f t="shared" si="115"/>
        <v>0</v>
      </c>
      <c r="BZ148" s="2">
        <f t="shared" si="115"/>
        <v>0</v>
      </c>
      <c r="CA148" s="2">
        <f t="shared" ref="CA148:DF148" si="116">CA159</f>
        <v>50136.34</v>
      </c>
      <c r="CB148" s="2">
        <f t="shared" si="116"/>
        <v>0</v>
      </c>
      <c r="CC148" s="2">
        <f t="shared" si="116"/>
        <v>0</v>
      </c>
      <c r="CD148" s="2">
        <f t="shared" si="116"/>
        <v>50136.34</v>
      </c>
      <c r="CE148" s="2">
        <f t="shared" si="116"/>
        <v>0</v>
      </c>
      <c r="CF148" s="2">
        <f t="shared" si="116"/>
        <v>0</v>
      </c>
      <c r="CG148" s="2">
        <f t="shared" si="116"/>
        <v>0</v>
      </c>
      <c r="CH148" s="2">
        <f t="shared" si="116"/>
        <v>0</v>
      </c>
      <c r="CI148" s="2">
        <f t="shared" si="116"/>
        <v>0</v>
      </c>
      <c r="CJ148" s="2">
        <f t="shared" si="116"/>
        <v>0</v>
      </c>
      <c r="CK148" s="2">
        <f t="shared" si="116"/>
        <v>0</v>
      </c>
      <c r="CL148" s="2">
        <f t="shared" si="116"/>
        <v>0</v>
      </c>
      <c r="CM148" s="2">
        <f t="shared" si="116"/>
        <v>0</v>
      </c>
      <c r="CN148" s="2">
        <f t="shared" si="116"/>
        <v>0</v>
      </c>
      <c r="CO148" s="2">
        <f t="shared" si="116"/>
        <v>0</v>
      </c>
      <c r="CP148" s="2">
        <f t="shared" si="116"/>
        <v>0</v>
      </c>
      <c r="CQ148" s="2">
        <f t="shared" si="116"/>
        <v>0</v>
      </c>
      <c r="CR148" s="2">
        <f t="shared" si="116"/>
        <v>0</v>
      </c>
      <c r="CS148" s="2">
        <f t="shared" si="116"/>
        <v>0</v>
      </c>
      <c r="CT148" s="2">
        <f t="shared" si="116"/>
        <v>0</v>
      </c>
      <c r="CU148" s="2">
        <f t="shared" si="116"/>
        <v>0</v>
      </c>
      <c r="CV148" s="2">
        <f t="shared" si="116"/>
        <v>0</v>
      </c>
      <c r="CW148" s="2">
        <f t="shared" si="116"/>
        <v>0</v>
      </c>
      <c r="CX148" s="2">
        <f t="shared" si="116"/>
        <v>0</v>
      </c>
      <c r="CY148" s="2">
        <f t="shared" si="116"/>
        <v>0</v>
      </c>
      <c r="CZ148" s="2">
        <f t="shared" si="116"/>
        <v>0</v>
      </c>
      <c r="DA148" s="2">
        <f t="shared" si="116"/>
        <v>0</v>
      </c>
      <c r="DB148" s="2">
        <f t="shared" si="116"/>
        <v>0</v>
      </c>
      <c r="DC148" s="2">
        <f t="shared" si="116"/>
        <v>0</v>
      </c>
      <c r="DD148" s="2">
        <f t="shared" si="116"/>
        <v>0</v>
      </c>
      <c r="DE148" s="2">
        <f t="shared" si="116"/>
        <v>0</v>
      </c>
      <c r="DF148" s="2">
        <f t="shared" si="116"/>
        <v>0</v>
      </c>
      <c r="DG148" s="3">
        <f t="shared" ref="DG148:EL148" si="117">DG159</f>
        <v>0</v>
      </c>
      <c r="DH148" s="3">
        <f t="shared" si="117"/>
        <v>0</v>
      </c>
      <c r="DI148" s="3">
        <f t="shared" si="117"/>
        <v>0</v>
      </c>
      <c r="DJ148" s="3">
        <f t="shared" si="117"/>
        <v>0</v>
      </c>
      <c r="DK148" s="3">
        <f t="shared" si="117"/>
        <v>0</v>
      </c>
      <c r="DL148" s="3">
        <f t="shared" si="117"/>
        <v>0</v>
      </c>
      <c r="DM148" s="3">
        <f t="shared" si="117"/>
        <v>0</v>
      </c>
      <c r="DN148" s="3">
        <f t="shared" si="117"/>
        <v>0</v>
      </c>
      <c r="DO148" s="3">
        <f t="shared" si="117"/>
        <v>0</v>
      </c>
      <c r="DP148" s="3">
        <f t="shared" si="117"/>
        <v>0</v>
      </c>
      <c r="DQ148" s="3">
        <f t="shared" si="117"/>
        <v>0</v>
      </c>
      <c r="DR148" s="3">
        <f t="shared" si="117"/>
        <v>0</v>
      </c>
      <c r="DS148" s="3">
        <f t="shared" si="117"/>
        <v>0</v>
      </c>
      <c r="DT148" s="3">
        <f t="shared" si="117"/>
        <v>0</v>
      </c>
      <c r="DU148" s="3">
        <f t="shared" si="117"/>
        <v>0</v>
      </c>
      <c r="DV148" s="3">
        <f t="shared" si="117"/>
        <v>0</v>
      </c>
      <c r="DW148" s="3">
        <f t="shared" si="117"/>
        <v>0</v>
      </c>
      <c r="DX148" s="3">
        <f t="shared" si="117"/>
        <v>0</v>
      </c>
      <c r="DY148" s="3">
        <f t="shared" si="117"/>
        <v>0</v>
      </c>
      <c r="DZ148" s="3">
        <f t="shared" si="117"/>
        <v>0</v>
      </c>
      <c r="EA148" s="3">
        <f t="shared" si="117"/>
        <v>0</v>
      </c>
      <c r="EB148" s="3">
        <f t="shared" si="117"/>
        <v>0</v>
      </c>
      <c r="EC148" s="3">
        <f t="shared" si="117"/>
        <v>0</v>
      </c>
      <c r="ED148" s="3">
        <f t="shared" si="117"/>
        <v>0</v>
      </c>
      <c r="EE148" s="3">
        <f t="shared" si="117"/>
        <v>0</v>
      </c>
      <c r="EF148" s="3">
        <f t="shared" si="117"/>
        <v>0</v>
      </c>
      <c r="EG148" s="3">
        <f t="shared" si="117"/>
        <v>0</v>
      </c>
      <c r="EH148" s="3">
        <f t="shared" si="117"/>
        <v>0</v>
      </c>
      <c r="EI148" s="3">
        <f t="shared" si="117"/>
        <v>0</v>
      </c>
      <c r="EJ148" s="3">
        <f t="shared" si="117"/>
        <v>0</v>
      </c>
      <c r="EK148" s="3">
        <f t="shared" si="117"/>
        <v>0</v>
      </c>
      <c r="EL148" s="3">
        <f t="shared" si="117"/>
        <v>0</v>
      </c>
      <c r="EM148" s="3">
        <f t="shared" ref="EM148:FR148" si="118">EM159</f>
        <v>0</v>
      </c>
      <c r="EN148" s="3">
        <f t="shared" si="118"/>
        <v>0</v>
      </c>
      <c r="EO148" s="3">
        <f t="shared" si="118"/>
        <v>0</v>
      </c>
      <c r="EP148" s="3">
        <f t="shared" si="118"/>
        <v>0</v>
      </c>
      <c r="EQ148" s="3">
        <f t="shared" si="118"/>
        <v>0</v>
      </c>
      <c r="ER148" s="3">
        <f t="shared" si="118"/>
        <v>0</v>
      </c>
      <c r="ES148" s="3">
        <f t="shared" si="118"/>
        <v>0</v>
      </c>
      <c r="ET148" s="3">
        <f t="shared" si="118"/>
        <v>0</v>
      </c>
      <c r="EU148" s="3">
        <f t="shared" si="118"/>
        <v>0</v>
      </c>
      <c r="EV148" s="3">
        <f t="shared" si="118"/>
        <v>0</v>
      </c>
      <c r="EW148" s="3">
        <f t="shared" si="118"/>
        <v>0</v>
      </c>
      <c r="EX148" s="3">
        <f t="shared" si="118"/>
        <v>0</v>
      </c>
      <c r="EY148" s="3">
        <f t="shared" si="118"/>
        <v>0</v>
      </c>
      <c r="EZ148" s="3">
        <f t="shared" si="118"/>
        <v>0</v>
      </c>
      <c r="FA148" s="3">
        <f t="shared" si="118"/>
        <v>0</v>
      </c>
      <c r="FB148" s="3">
        <f t="shared" si="118"/>
        <v>0</v>
      </c>
      <c r="FC148" s="3">
        <f t="shared" si="118"/>
        <v>0</v>
      </c>
      <c r="FD148" s="3">
        <f t="shared" si="118"/>
        <v>0</v>
      </c>
      <c r="FE148" s="3">
        <f t="shared" si="118"/>
        <v>0</v>
      </c>
      <c r="FF148" s="3">
        <f t="shared" si="118"/>
        <v>0</v>
      </c>
      <c r="FG148" s="3">
        <f t="shared" si="118"/>
        <v>0</v>
      </c>
      <c r="FH148" s="3">
        <f t="shared" si="118"/>
        <v>0</v>
      </c>
      <c r="FI148" s="3">
        <f t="shared" si="118"/>
        <v>0</v>
      </c>
      <c r="FJ148" s="3">
        <f t="shared" si="118"/>
        <v>0</v>
      </c>
      <c r="FK148" s="3">
        <f t="shared" si="118"/>
        <v>0</v>
      </c>
      <c r="FL148" s="3">
        <f t="shared" si="118"/>
        <v>0</v>
      </c>
      <c r="FM148" s="3">
        <f t="shared" si="118"/>
        <v>0</v>
      </c>
      <c r="FN148" s="3">
        <f t="shared" si="118"/>
        <v>0</v>
      </c>
      <c r="FO148" s="3">
        <f t="shared" si="118"/>
        <v>0</v>
      </c>
      <c r="FP148" s="3">
        <f t="shared" si="118"/>
        <v>0</v>
      </c>
      <c r="FQ148" s="3">
        <f t="shared" si="118"/>
        <v>0</v>
      </c>
      <c r="FR148" s="3">
        <f t="shared" si="118"/>
        <v>0</v>
      </c>
      <c r="FS148" s="3">
        <f t="shared" ref="FS148:GX148" si="119">FS159</f>
        <v>0</v>
      </c>
      <c r="FT148" s="3">
        <f t="shared" si="119"/>
        <v>0</v>
      </c>
      <c r="FU148" s="3">
        <f t="shared" si="119"/>
        <v>0</v>
      </c>
      <c r="FV148" s="3">
        <f t="shared" si="119"/>
        <v>0</v>
      </c>
      <c r="FW148" s="3">
        <f t="shared" si="119"/>
        <v>0</v>
      </c>
      <c r="FX148" s="3">
        <f t="shared" si="119"/>
        <v>0</v>
      </c>
      <c r="FY148" s="3">
        <f t="shared" si="119"/>
        <v>0</v>
      </c>
      <c r="FZ148" s="3">
        <f t="shared" si="119"/>
        <v>0</v>
      </c>
      <c r="GA148" s="3">
        <f t="shared" si="119"/>
        <v>0</v>
      </c>
      <c r="GB148" s="3">
        <f t="shared" si="119"/>
        <v>0</v>
      </c>
      <c r="GC148" s="3">
        <f t="shared" si="119"/>
        <v>0</v>
      </c>
      <c r="GD148" s="3">
        <f t="shared" si="119"/>
        <v>0</v>
      </c>
      <c r="GE148" s="3">
        <f t="shared" si="119"/>
        <v>0</v>
      </c>
      <c r="GF148" s="3">
        <f t="shared" si="119"/>
        <v>0</v>
      </c>
      <c r="GG148" s="3">
        <f t="shared" si="119"/>
        <v>0</v>
      </c>
      <c r="GH148" s="3">
        <f t="shared" si="119"/>
        <v>0</v>
      </c>
      <c r="GI148" s="3">
        <f t="shared" si="119"/>
        <v>0</v>
      </c>
      <c r="GJ148" s="3">
        <f t="shared" si="119"/>
        <v>0</v>
      </c>
      <c r="GK148" s="3">
        <f t="shared" si="119"/>
        <v>0</v>
      </c>
      <c r="GL148" s="3">
        <f t="shared" si="119"/>
        <v>0</v>
      </c>
      <c r="GM148" s="3">
        <f t="shared" si="119"/>
        <v>0</v>
      </c>
      <c r="GN148" s="3">
        <f t="shared" si="119"/>
        <v>0</v>
      </c>
      <c r="GO148" s="3">
        <f t="shared" si="119"/>
        <v>0</v>
      </c>
      <c r="GP148" s="3">
        <f t="shared" si="119"/>
        <v>0</v>
      </c>
      <c r="GQ148" s="3">
        <f t="shared" si="119"/>
        <v>0</v>
      </c>
      <c r="GR148" s="3">
        <f t="shared" si="119"/>
        <v>0</v>
      </c>
      <c r="GS148" s="3">
        <f t="shared" si="119"/>
        <v>0</v>
      </c>
      <c r="GT148" s="3">
        <f t="shared" si="119"/>
        <v>0</v>
      </c>
      <c r="GU148" s="3">
        <f t="shared" si="119"/>
        <v>0</v>
      </c>
      <c r="GV148" s="3">
        <f t="shared" si="119"/>
        <v>0</v>
      </c>
      <c r="GW148" s="3">
        <f t="shared" si="119"/>
        <v>0</v>
      </c>
      <c r="GX148" s="3">
        <f t="shared" si="119"/>
        <v>0</v>
      </c>
    </row>
    <row r="150" spans="1:245" x14ac:dyDescent="0.2">
      <c r="A150">
        <v>17</v>
      </c>
      <c r="B150">
        <v>1</v>
      </c>
      <c r="C150">
        <f>ROW(SmtRes!A20)</f>
        <v>20</v>
      </c>
      <c r="D150">
        <f>ROW(EtalonRes!A21)</f>
        <v>21</v>
      </c>
      <c r="E150" t="s">
        <v>162</v>
      </c>
      <c r="F150" t="s">
        <v>163</v>
      </c>
      <c r="G150" t="s">
        <v>164</v>
      </c>
      <c r="H150" t="s">
        <v>111</v>
      </c>
      <c r="I150">
        <v>1</v>
      </c>
      <c r="J150">
        <v>0</v>
      </c>
      <c r="O150">
        <f t="shared" ref="O150:O157" si="120">ROUND(CP150,2)</f>
        <v>8224.15</v>
      </c>
      <c r="P150">
        <f t="shared" ref="P150:P157" si="121">ROUND(CQ150*I150,2)</f>
        <v>0</v>
      </c>
      <c r="Q150">
        <f t="shared" ref="Q150:Q157" si="122">ROUND(CR150*I150,2)</f>
        <v>0</v>
      </c>
      <c r="R150">
        <f t="shared" ref="R150:R157" si="123">ROUND(CS150*I150,2)</f>
        <v>0</v>
      </c>
      <c r="S150">
        <f t="shared" ref="S150:S157" si="124">ROUND(CT150*I150,2)</f>
        <v>8224.15</v>
      </c>
      <c r="T150">
        <f t="shared" ref="T150:T157" si="125">ROUND(CU150*I150,2)</f>
        <v>0</v>
      </c>
      <c r="U150">
        <f t="shared" ref="U150:U157" si="126">CV150*I150</f>
        <v>23</v>
      </c>
      <c r="V150">
        <f t="shared" ref="V150:V157" si="127">CW150*I150</f>
        <v>0</v>
      </c>
      <c r="W150">
        <f t="shared" ref="W150:W157" si="128">ROUND(CX150*I150,2)</f>
        <v>0</v>
      </c>
      <c r="X150">
        <f t="shared" ref="X150:Y157" si="129">ROUND(CY150,2)</f>
        <v>5592.42</v>
      </c>
      <c r="Y150">
        <f t="shared" si="129"/>
        <v>3371.9</v>
      </c>
      <c r="AA150">
        <v>36226623</v>
      </c>
      <c r="AB150">
        <f t="shared" ref="AB150:AB157" si="130">ROUND((AC150+AD150+AF150),2)</f>
        <v>339.42</v>
      </c>
      <c r="AC150">
        <f t="shared" ref="AC150:AF153" si="131">ROUND((ES150),2)</f>
        <v>0</v>
      </c>
      <c r="AD150">
        <f t="shared" si="131"/>
        <v>0</v>
      </c>
      <c r="AE150">
        <f t="shared" si="131"/>
        <v>0</v>
      </c>
      <c r="AF150">
        <f t="shared" si="131"/>
        <v>339.42</v>
      </c>
      <c r="AG150">
        <f t="shared" ref="AG150:AG157" si="132">ROUND((AP150),2)</f>
        <v>0</v>
      </c>
      <c r="AH150">
        <f t="shared" ref="AH150:AI153" si="133">(EW150)</f>
        <v>23</v>
      </c>
      <c r="AI150">
        <f t="shared" si="133"/>
        <v>0</v>
      </c>
      <c r="AJ150">
        <f t="shared" ref="AJ150:AJ157" si="134">(AS150)</f>
        <v>0</v>
      </c>
      <c r="AK150">
        <v>339.42</v>
      </c>
      <c r="AL150">
        <v>0</v>
      </c>
      <c r="AM150">
        <v>0</v>
      </c>
      <c r="AN150">
        <v>0</v>
      </c>
      <c r="AO150">
        <v>339.42</v>
      </c>
      <c r="AP150">
        <v>0</v>
      </c>
      <c r="AQ150">
        <v>23</v>
      </c>
      <c r="AR150">
        <v>0</v>
      </c>
      <c r="AS150">
        <v>0</v>
      </c>
      <c r="AT150">
        <v>68</v>
      </c>
      <c r="AU150">
        <v>41</v>
      </c>
      <c r="AV150">
        <v>1</v>
      </c>
      <c r="AW150">
        <v>1</v>
      </c>
      <c r="AZ150">
        <v>1</v>
      </c>
      <c r="BA150">
        <v>24.23</v>
      </c>
      <c r="BB150">
        <v>1</v>
      </c>
      <c r="BC150">
        <v>1</v>
      </c>
      <c r="BD150" t="s">
        <v>3</v>
      </c>
      <c r="BE150" t="s">
        <v>3</v>
      </c>
      <c r="BF150" t="s">
        <v>3</v>
      </c>
      <c r="BG150" t="s">
        <v>3</v>
      </c>
      <c r="BH150">
        <v>0</v>
      </c>
      <c r="BI150">
        <v>4</v>
      </c>
      <c r="BJ150" t="s">
        <v>165</v>
      </c>
      <c r="BM150">
        <v>381</v>
      </c>
      <c r="BN150">
        <v>0</v>
      </c>
      <c r="BO150" t="s">
        <v>125</v>
      </c>
      <c r="BP150">
        <v>1</v>
      </c>
      <c r="BQ150">
        <v>50</v>
      </c>
      <c r="BR150">
        <v>0</v>
      </c>
      <c r="BS150">
        <v>1</v>
      </c>
      <c r="BT150">
        <v>1</v>
      </c>
      <c r="BU150">
        <v>1</v>
      </c>
      <c r="BV150">
        <v>1</v>
      </c>
      <c r="BW150">
        <v>1</v>
      </c>
      <c r="BX150">
        <v>1</v>
      </c>
      <c r="BY150" t="s">
        <v>3</v>
      </c>
      <c r="BZ150">
        <v>68</v>
      </c>
      <c r="CA150">
        <v>41</v>
      </c>
      <c r="CE150">
        <v>0</v>
      </c>
      <c r="CF150">
        <v>0</v>
      </c>
      <c r="CG150">
        <v>0</v>
      </c>
      <c r="CM150">
        <v>0</v>
      </c>
      <c r="CN150" t="s">
        <v>3</v>
      </c>
      <c r="CO150">
        <v>0</v>
      </c>
      <c r="CP150">
        <f t="shared" ref="CP150:CP157" si="135">(P150+Q150+S150)</f>
        <v>8224.15</v>
      </c>
      <c r="CQ150">
        <f t="shared" ref="CQ150:CQ157" si="136">(AC150*BC150*AW150)</f>
        <v>0</v>
      </c>
      <c r="CR150">
        <f t="shared" ref="CR150:CR157" si="137">(AD150*BB150*AV150)</f>
        <v>0</v>
      </c>
      <c r="CS150">
        <f t="shared" ref="CS150:CS157" si="138">(AE150*BS150*AV150)</f>
        <v>0</v>
      </c>
      <c r="CT150">
        <f t="shared" ref="CT150:CT157" si="139">(AF150*BA150*AV150)</f>
        <v>8224.1466</v>
      </c>
      <c r="CU150">
        <f t="shared" ref="CU150:CU157" si="140">AG150</f>
        <v>0</v>
      </c>
      <c r="CV150">
        <f t="shared" ref="CV150:CV157" si="141">(AH150*AV150)</f>
        <v>23</v>
      </c>
      <c r="CW150">
        <f t="shared" ref="CW150:CX157" si="142">AI150</f>
        <v>0</v>
      </c>
      <c r="CX150">
        <f t="shared" si="142"/>
        <v>0</v>
      </c>
      <c r="CY150">
        <f t="shared" ref="CY150:CY157" si="143">S150*(BZ150/100)</f>
        <v>5592.4220000000005</v>
      </c>
      <c r="CZ150">
        <f t="shared" ref="CZ150:CZ157" si="144">S150*(CA150/100)</f>
        <v>3371.9014999999995</v>
      </c>
      <c r="DC150" t="s">
        <v>3</v>
      </c>
      <c r="DD150" t="s">
        <v>3</v>
      </c>
      <c r="DE150" t="s">
        <v>3</v>
      </c>
      <c r="DF150" t="s">
        <v>3</v>
      </c>
      <c r="DG150" t="s">
        <v>3</v>
      </c>
      <c r="DH150" t="s">
        <v>3</v>
      </c>
      <c r="DI150" t="s">
        <v>3</v>
      </c>
      <c r="DJ150" t="s">
        <v>3</v>
      </c>
      <c r="DK150" t="s">
        <v>3</v>
      </c>
      <c r="DL150" t="s">
        <v>3</v>
      </c>
      <c r="DM150" t="s">
        <v>3</v>
      </c>
      <c r="DN150">
        <v>75</v>
      </c>
      <c r="DO150">
        <v>70</v>
      </c>
      <c r="DP150">
        <v>1</v>
      </c>
      <c r="DQ150">
        <v>1</v>
      </c>
      <c r="DU150">
        <v>1013</v>
      </c>
      <c r="DV150" t="s">
        <v>111</v>
      </c>
      <c r="DW150" t="s">
        <v>111</v>
      </c>
      <c r="DX150">
        <v>1</v>
      </c>
      <c r="EE150">
        <v>31686158</v>
      </c>
      <c r="EF150">
        <v>50</v>
      </c>
      <c r="EG150" t="s">
        <v>161</v>
      </c>
      <c r="EH150">
        <v>0</v>
      </c>
      <c r="EI150" t="s">
        <v>3</v>
      </c>
      <c r="EJ150">
        <v>4</v>
      </c>
      <c r="EK150">
        <v>381</v>
      </c>
      <c r="EL150" t="s">
        <v>166</v>
      </c>
      <c r="EM150" t="s">
        <v>167</v>
      </c>
      <c r="EO150" t="s">
        <v>3</v>
      </c>
      <c r="EQ150">
        <v>0</v>
      </c>
      <c r="ER150">
        <v>339.42</v>
      </c>
      <c r="ES150">
        <v>0</v>
      </c>
      <c r="ET150">
        <v>0</v>
      </c>
      <c r="EU150">
        <v>0</v>
      </c>
      <c r="EV150">
        <v>339.42</v>
      </c>
      <c r="EW150">
        <v>23</v>
      </c>
      <c r="EX150">
        <v>0</v>
      </c>
      <c r="EY150">
        <v>0</v>
      </c>
      <c r="FQ150">
        <v>0</v>
      </c>
      <c r="FR150">
        <f t="shared" ref="FR150:FR157" si="145">ROUND(IF(AND(BH150=3,BI150=3),P150,0),2)</f>
        <v>0</v>
      </c>
      <c r="FS150">
        <v>0</v>
      </c>
      <c r="FX150">
        <v>75</v>
      </c>
      <c r="FY150">
        <v>70</v>
      </c>
      <c r="GA150" t="s">
        <v>3</v>
      </c>
      <c r="GD150">
        <v>0</v>
      </c>
      <c r="GF150">
        <v>-1993778524</v>
      </c>
      <c r="GG150">
        <v>2</v>
      </c>
      <c r="GH150">
        <v>1</v>
      </c>
      <c r="GI150">
        <v>2</v>
      </c>
      <c r="GJ150">
        <v>0</v>
      </c>
      <c r="GK150">
        <f>ROUND(R150*(R12)/100,2)</f>
        <v>0</v>
      </c>
      <c r="GL150">
        <f t="shared" ref="GL150:GL157" si="146">ROUND(IF(AND(BH150=3,BI150=3,FS150&lt;&gt;0),P150,0),2)</f>
        <v>0</v>
      </c>
      <c r="GM150">
        <f t="shared" ref="GM150:GM157" si="147">ROUND(O150+X150+Y150+GK150,2)+GX150</f>
        <v>17188.47</v>
      </c>
      <c r="GN150">
        <f t="shared" ref="GN150:GN157" si="148">IF(OR(BI150=0,BI150=1),ROUND(O150+X150+Y150+GK150,2),0)</f>
        <v>0</v>
      </c>
      <c r="GO150">
        <f t="shared" ref="GO150:GO157" si="149">IF(BI150=2,ROUND(O150+X150+Y150+GK150,2),0)</f>
        <v>0</v>
      </c>
      <c r="GP150">
        <f t="shared" ref="GP150:GP157" si="150">IF(BI150=4,ROUND(O150+X150+Y150+GK150,2)+GX150,0)</f>
        <v>17188.47</v>
      </c>
      <c r="GR150">
        <v>0</v>
      </c>
      <c r="GS150">
        <v>0</v>
      </c>
      <c r="GT150">
        <v>0</v>
      </c>
      <c r="GU150" t="s">
        <v>3</v>
      </c>
      <c r="GV150">
        <f t="shared" ref="GV150:GV157" si="151">ROUND((GT150),2)</f>
        <v>0</v>
      </c>
      <c r="GW150">
        <v>1</v>
      </c>
      <c r="GX150">
        <f t="shared" ref="GX150:GX157" si="152">ROUND(HC150*I150,2)</f>
        <v>0</v>
      </c>
      <c r="HA150">
        <v>0</v>
      </c>
      <c r="HB150">
        <v>0</v>
      </c>
      <c r="HC150">
        <f t="shared" ref="HC150:HC157" si="153">GV150*GW150</f>
        <v>0</v>
      </c>
      <c r="IK150">
        <v>0</v>
      </c>
    </row>
    <row r="151" spans="1:245" x14ac:dyDescent="0.2">
      <c r="A151">
        <v>17</v>
      </c>
      <c r="B151">
        <v>1</v>
      </c>
      <c r="C151">
        <f>ROW(SmtRes!A21)</f>
        <v>21</v>
      </c>
      <c r="D151">
        <f>ROW(EtalonRes!A22)</f>
        <v>22</v>
      </c>
      <c r="E151" t="s">
        <v>168</v>
      </c>
      <c r="F151" t="s">
        <v>169</v>
      </c>
      <c r="G151" t="s">
        <v>170</v>
      </c>
      <c r="H151" t="s">
        <v>111</v>
      </c>
      <c r="I151">
        <v>3</v>
      </c>
      <c r="J151">
        <v>0</v>
      </c>
      <c r="O151">
        <f t="shared" si="120"/>
        <v>8471.2900000000009</v>
      </c>
      <c r="P151">
        <f t="shared" si="121"/>
        <v>0</v>
      </c>
      <c r="Q151">
        <f t="shared" si="122"/>
        <v>0</v>
      </c>
      <c r="R151">
        <f t="shared" si="123"/>
        <v>0</v>
      </c>
      <c r="S151">
        <f t="shared" si="124"/>
        <v>8471.2900000000009</v>
      </c>
      <c r="T151">
        <f t="shared" si="125"/>
        <v>0</v>
      </c>
      <c r="U151">
        <f t="shared" si="126"/>
        <v>24.299999999999997</v>
      </c>
      <c r="V151">
        <f t="shared" si="127"/>
        <v>0</v>
      </c>
      <c r="W151">
        <f t="shared" si="128"/>
        <v>0</v>
      </c>
      <c r="X151">
        <f t="shared" si="129"/>
        <v>5760.48</v>
      </c>
      <c r="Y151">
        <f t="shared" si="129"/>
        <v>3473.23</v>
      </c>
      <c r="AA151">
        <v>36226623</v>
      </c>
      <c r="AB151">
        <f t="shared" si="130"/>
        <v>116.54</v>
      </c>
      <c r="AC151">
        <f t="shared" si="131"/>
        <v>0</v>
      </c>
      <c r="AD151">
        <f t="shared" si="131"/>
        <v>0</v>
      </c>
      <c r="AE151">
        <f t="shared" si="131"/>
        <v>0</v>
      </c>
      <c r="AF151">
        <f t="shared" si="131"/>
        <v>116.54</v>
      </c>
      <c r="AG151">
        <f t="shared" si="132"/>
        <v>0</v>
      </c>
      <c r="AH151">
        <f t="shared" si="133"/>
        <v>8.1</v>
      </c>
      <c r="AI151">
        <f t="shared" si="133"/>
        <v>0</v>
      </c>
      <c r="AJ151">
        <f t="shared" si="134"/>
        <v>0</v>
      </c>
      <c r="AK151">
        <v>116.54</v>
      </c>
      <c r="AL151">
        <v>0</v>
      </c>
      <c r="AM151">
        <v>0</v>
      </c>
      <c r="AN151">
        <v>0</v>
      </c>
      <c r="AO151">
        <v>116.54</v>
      </c>
      <c r="AP151">
        <v>0</v>
      </c>
      <c r="AQ151">
        <v>8.1</v>
      </c>
      <c r="AR151">
        <v>0</v>
      </c>
      <c r="AS151">
        <v>0</v>
      </c>
      <c r="AT151">
        <v>68</v>
      </c>
      <c r="AU151">
        <v>41</v>
      </c>
      <c r="AV151">
        <v>1</v>
      </c>
      <c r="AW151">
        <v>1</v>
      </c>
      <c r="AZ151">
        <v>1</v>
      </c>
      <c r="BA151">
        <v>24.23</v>
      </c>
      <c r="BB151">
        <v>1</v>
      </c>
      <c r="BC151">
        <v>1</v>
      </c>
      <c r="BD151" t="s">
        <v>3</v>
      </c>
      <c r="BE151" t="s">
        <v>3</v>
      </c>
      <c r="BF151" t="s">
        <v>3</v>
      </c>
      <c r="BG151" t="s">
        <v>3</v>
      </c>
      <c r="BH151">
        <v>0</v>
      </c>
      <c r="BI151">
        <v>4</v>
      </c>
      <c r="BJ151" t="s">
        <v>171</v>
      </c>
      <c r="BM151">
        <v>381</v>
      </c>
      <c r="BN151">
        <v>0</v>
      </c>
      <c r="BO151" t="s">
        <v>125</v>
      </c>
      <c r="BP151">
        <v>1</v>
      </c>
      <c r="BQ151">
        <v>50</v>
      </c>
      <c r="BR151">
        <v>0</v>
      </c>
      <c r="BS151">
        <v>1</v>
      </c>
      <c r="BT151">
        <v>1</v>
      </c>
      <c r="BU151">
        <v>1</v>
      </c>
      <c r="BV151">
        <v>1</v>
      </c>
      <c r="BW151">
        <v>1</v>
      </c>
      <c r="BX151">
        <v>1</v>
      </c>
      <c r="BY151" t="s">
        <v>3</v>
      </c>
      <c r="BZ151">
        <v>68</v>
      </c>
      <c r="CA151">
        <v>41</v>
      </c>
      <c r="CE151">
        <v>0</v>
      </c>
      <c r="CF151">
        <v>0</v>
      </c>
      <c r="CG151">
        <v>0</v>
      </c>
      <c r="CM151">
        <v>0</v>
      </c>
      <c r="CN151" t="s">
        <v>3</v>
      </c>
      <c r="CO151">
        <v>0</v>
      </c>
      <c r="CP151">
        <f t="shared" si="135"/>
        <v>8471.2900000000009</v>
      </c>
      <c r="CQ151">
        <f t="shared" si="136"/>
        <v>0</v>
      </c>
      <c r="CR151">
        <f t="shared" si="137"/>
        <v>0</v>
      </c>
      <c r="CS151">
        <f t="shared" si="138"/>
        <v>0</v>
      </c>
      <c r="CT151">
        <f t="shared" si="139"/>
        <v>2823.7642000000001</v>
      </c>
      <c r="CU151">
        <f t="shared" si="140"/>
        <v>0</v>
      </c>
      <c r="CV151">
        <f t="shared" si="141"/>
        <v>8.1</v>
      </c>
      <c r="CW151">
        <f t="shared" si="142"/>
        <v>0</v>
      </c>
      <c r="CX151">
        <f t="shared" si="142"/>
        <v>0</v>
      </c>
      <c r="CY151">
        <f t="shared" si="143"/>
        <v>5760.4772000000012</v>
      </c>
      <c r="CZ151">
        <f t="shared" si="144"/>
        <v>3473.2289000000001</v>
      </c>
      <c r="DC151" t="s">
        <v>3</v>
      </c>
      <c r="DD151" t="s">
        <v>3</v>
      </c>
      <c r="DE151" t="s">
        <v>3</v>
      </c>
      <c r="DF151" t="s">
        <v>3</v>
      </c>
      <c r="DG151" t="s">
        <v>3</v>
      </c>
      <c r="DH151" t="s">
        <v>3</v>
      </c>
      <c r="DI151" t="s">
        <v>3</v>
      </c>
      <c r="DJ151" t="s">
        <v>3</v>
      </c>
      <c r="DK151" t="s">
        <v>3</v>
      </c>
      <c r="DL151" t="s">
        <v>3</v>
      </c>
      <c r="DM151" t="s">
        <v>3</v>
      </c>
      <c r="DN151">
        <v>75</v>
      </c>
      <c r="DO151">
        <v>70</v>
      </c>
      <c r="DP151">
        <v>1</v>
      </c>
      <c r="DQ151">
        <v>1</v>
      </c>
      <c r="DU151">
        <v>1013</v>
      </c>
      <c r="DV151" t="s">
        <v>111</v>
      </c>
      <c r="DW151" t="s">
        <v>111</v>
      </c>
      <c r="DX151">
        <v>1</v>
      </c>
      <c r="EE151">
        <v>31686158</v>
      </c>
      <c r="EF151">
        <v>50</v>
      </c>
      <c r="EG151" t="s">
        <v>161</v>
      </c>
      <c r="EH151">
        <v>0</v>
      </c>
      <c r="EI151" t="s">
        <v>3</v>
      </c>
      <c r="EJ151">
        <v>4</v>
      </c>
      <c r="EK151">
        <v>381</v>
      </c>
      <c r="EL151" t="s">
        <v>166</v>
      </c>
      <c r="EM151" t="s">
        <v>167</v>
      </c>
      <c r="EO151" t="s">
        <v>3</v>
      </c>
      <c r="EQ151">
        <v>0</v>
      </c>
      <c r="ER151">
        <v>116.54</v>
      </c>
      <c r="ES151">
        <v>0</v>
      </c>
      <c r="ET151">
        <v>0</v>
      </c>
      <c r="EU151">
        <v>0</v>
      </c>
      <c r="EV151">
        <v>116.54</v>
      </c>
      <c r="EW151">
        <v>8.1</v>
      </c>
      <c r="EX151">
        <v>0</v>
      </c>
      <c r="EY151">
        <v>0</v>
      </c>
      <c r="FQ151">
        <v>0</v>
      </c>
      <c r="FR151">
        <f t="shared" si="145"/>
        <v>0</v>
      </c>
      <c r="FS151">
        <v>0</v>
      </c>
      <c r="FX151">
        <v>75</v>
      </c>
      <c r="FY151">
        <v>70</v>
      </c>
      <c r="GA151" t="s">
        <v>3</v>
      </c>
      <c r="GD151">
        <v>0</v>
      </c>
      <c r="GF151">
        <v>-1004736330</v>
      </c>
      <c r="GG151">
        <v>2</v>
      </c>
      <c r="GH151">
        <v>1</v>
      </c>
      <c r="GI151">
        <v>2</v>
      </c>
      <c r="GJ151">
        <v>0</v>
      </c>
      <c r="GK151">
        <f>ROUND(R151*(R12)/100,2)</f>
        <v>0</v>
      </c>
      <c r="GL151">
        <f t="shared" si="146"/>
        <v>0</v>
      </c>
      <c r="GM151">
        <f t="shared" si="147"/>
        <v>17705</v>
      </c>
      <c r="GN151">
        <f t="shared" si="148"/>
        <v>0</v>
      </c>
      <c r="GO151">
        <f t="shared" si="149"/>
        <v>0</v>
      </c>
      <c r="GP151">
        <f t="shared" si="150"/>
        <v>17705</v>
      </c>
      <c r="GR151">
        <v>0</v>
      </c>
      <c r="GS151">
        <v>0</v>
      </c>
      <c r="GT151">
        <v>0</v>
      </c>
      <c r="GU151" t="s">
        <v>3</v>
      </c>
      <c r="GV151">
        <f t="shared" si="151"/>
        <v>0</v>
      </c>
      <c r="GW151">
        <v>1</v>
      </c>
      <c r="GX151">
        <f t="shared" si="152"/>
        <v>0</v>
      </c>
      <c r="HA151">
        <v>0</v>
      </c>
      <c r="HB151">
        <v>0</v>
      </c>
      <c r="HC151">
        <f t="shared" si="153"/>
        <v>0</v>
      </c>
      <c r="IK151">
        <v>0</v>
      </c>
    </row>
    <row r="152" spans="1:245" x14ac:dyDescent="0.2">
      <c r="A152">
        <v>17</v>
      </c>
      <c r="B152">
        <v>1</v>
      </c>
      <c r="C152">
        <f>ROW(SmtRes!A22)</f>
        <v>22</v>
      </c>
      <c r="D152">
        <f>ROW(EtalonRes!A23)</f>
        <v>23</v>
      </c>
      <c r="E152" t="s">
        <v>172</v>
      </c>
      <c r="F152" t="s">
        <v>173</v>
      </c>
      <c r="G152" t="s">
        <v>174</v>
      </c>
      <c r="H152" t="s">
        <v>175</v>
      </c>
      <c r="I152">
        <v>1</v>
      </c>
      <c r="J152">
        <v>0</v>
      </c>
      <c r="O152">
        <f t="shared" si="120"/>
        <v>345.04</v>
      </c>
      <c r="P152">
        <f t="shared" si="121"/>
        <v>0</v>
      </c>
      <c r="Q152">
        <f t="shared" si="122"/>
        <v>0</v>
      </c>
      <c r="R152">
        <f t="shared" si="123"/>
        <v>0</v>
      </c>
      <c r="S152">
        <f t="shared" si="124"/>
        <v>345.04</v>
      </c>
      <c r="T152">
        <f t="shared" si="125"/>
        <v>0</v>
      </c>
      <c r="U152">
        <f t="shared" si="126"/>
        <v>0.9</v>
      </c>
      <c r="V152">
        <f t="shared" si="127"/>
        <v>0</v>
      </c>
      <c r="W152">
        <f t="shared" si="128"/>
        <v>0</v>
      </c>
      <c r="X152">
        <f t="shared" si="129"/>
        <v>234.63</v>
      </c>
      <c r="Y152">
        <f t="shared" si="129"/>
        <v>141.47</v>
      </c>
      <c r="AA152">
        <v>36226623</v>
      </c>
      <c r="AB152">
        <f t="shared" si="130"/>
        <v>14.24</v>
      </c>
      <c r="AC152">
        <f t="shared" si="131"/>
        <v>0</v>
      </c>
      <c r="AD152">
        <f t="shared" si="131"/>
        <v>0</v>
      </c>
      <c r="AE152">
        <f t="shared" si="131"/>
        <v>0</v>
      </c>
      <c r="AF152">
        <f t="shared" si="131"/>
        <v>14.24</v>
      </c>
      <c r="AG152">
        <f t="shared" si="132"/>
        <v>0</v>
      </c>
      <c r="AH152">
        <f t="shared" si="133"/>
        <v>0.9</v>
      </c>
      <c r="AI152">
        <f t="shared" si="133"/>
        <v>0</v>
      </c>
      <c r="AJ152">
        <f t="shared" si="134"/>
        <v>0</v>
      </c>
      <c r="AK152">
        <v>14.24</v>
      </c>
      <c r="AL152">
        <v>0</v>
      </c>
      <c r="AM152">
        <v>0</v>
      </c>
      <c r="AN152">
        <v>0</v>
      </c>
      <c r="AO152">
        <v>14.24</v>
      </c>
      <c r="AP152">
        <v>0</v>
      </c>
      <c r="AQ152">
        <v>0.9</v>
      </c>
      <c r="AR152">
        <v>0</v>
      </c>
      <c r="AS152">
        <v>0</v>
      </c>
      <c r="AT152">
        <v>68</v>
      </c>
      <c r="AU152">
        <v>41</v>
      </c>
      <c r="AV152">
        <v>1</v>
      </c>
      <c r="AW152">
        <v>1</v>
      </c>
      <c r="AZ152">
        <v>1</v>
      </c>
      <c r="BA152">
        <v>24.23</v>
      </c>
      <c r="BB152">
        <v>1</v>
      </c>
      <c r="BC152">
        <v>1</v>
      </c>
      <c r="BD152" t="s">
        <v>3</v>
      </c>
      <c r="BE152" t="s">
        <v>3</v>
      </c>
      <c r="BF152" t="s">
        <v>3</v>
      </c>
      <c r="BG152" t="s">
        <v>3</v>
      </c>
      <c r="BH152">
        <v>0</v>
      </c>
      <c r="BI152">
        <v>4</v>
      </c>
      <c r="BJ152" t="s">
        <v>176</v>
      </c>
      <c r="BM152">
        <v>381</v>
      </c>
      <c r="BN152">
        <v>0</v>
      </c>
      <c r="BO152" t="s">
        <v>125</v>
      </c>
      <c r="BP152">
        <v>1</v>
      </c>
      <c r="BQ152">
        <v>50</v>
      </c>
      <c r="BR152">
        <v>0</v>
      </c>
      <c r="BS152">
        <v>1</v>
      </c>
      <c r="BT152">
        <v>1</v>
      </c>
      <c r="BU152">
        <v>1</v>
      </c>
      <c r="BV152">
        <v>1</v>
      </c>
      <c r="BW152">
        <v>1</v>
      </c>
      <c r="BX152">
        <v>1</v>
      </c>
      <c r="BY152" t="s">
        <v>3</v>
      </c>
      <c r="BZ152">
        <v>68</v>
      </c>
      <c r="CA152">
        <v>41</v>
      </c>
      <c r="CE152">
        <v>0</v>
      </c>
      <c r="CF152">
        <v>0</v>
      </c>
      <c r="CG152">
        <v>0</v>
      </c>
      <c r="CM152">
        <v>0</v>
      </c>
      <c r="CN152" t="s">
        <v>3</v>
      </c>
      <c r="CO152">
        <v>0</v>
      </c>
      <c r="CP152">
        <f t="shared" si="135"/>
        <v>345.04</v>
      </c>
      <c r="CQ152">
        <f t="shared" si="136"/>
        <v>0</v>
      </c>
      <c r="CR152">
        <f t="shared" si="137"/>
        <v>0</v>
      </c>
      <c r="CS152">
        <f t="shared" si="138"/>
        <v>0</v>
      </c>
      <c r="CT152">
        <f t="shared" si="139"/>
        <v>345.03520000000003</v>
      </c>
      <c r="CU152">
        <f t="shared" si="140"/>
        <v>0</v>
      </c>
      <c r="CV152">
        <f t="shared" si="141"/>
        <v>0.9</v>
      </c>
      <c r="CW152">
        <f t="shared" si="142"/>
        <v>0</v>
      </c>
      <c r="CX152">
        <f t="shared" si="142"/>
        <v>0</v>
      </c>
      <c r="CY152">
        <f t="shared" si="143"/>
        <v>234.62720000000004</v>
      </c>
      <c r="CZ152">
        <f t="shared" si="144"/>
        <v>141.46639999999999</v>
      </c>
      <c r="DC152" t="s">
        <v>3</v>
      </c>
      <c r="DD152" t="s">
        <v>3</v>
      </c>
      <c r="DE152" t="s">
        <v>3</v>
      </c>
      <c r="DF152" t="s">
        <v>3</v>
      </c>
      <c r="DG152" t="s">
        <v>3</v>
      </c>
      <c r="DH152" t="s">
        <v>3</v>
      </c>
      <c r="DI152" t="s">
        <v>3</v>
      </c>
      <c r="DJ152" t="s">
        <v>3</v>
      </c>
      <c r="DK152" t="s">
        <v>3</v>
      </c>
      <c r="DL152" t="s">
        <v>3</v>
      </c>
      <c r="DM152" t="s">
        <v>3</v>
      </c>
      <c r="DN152">
        <v>75</v>
      </c>
      <c r="DO152">
        <v>70</v>
      </c>
      <c r="DP152">
        <v>1</v>
      </c>
      <c r="DQ152">
        <v>1</v>
      </c>
      <c r="DU152">
        <v>1013</v>
      </c>
      <c r="DV152" t="s">
        <v>175</v>
      </c>
      <c r="DW152" t="s">
        <v>175</v>
      </c>
      <c r="DX152">
        <v>1</v>
      </c>
      <c r="EE152">
        <v>31686158</v>
      </c>
      <c r="EF152">
        <v>50</v>
      </c>
      <c r="EG152" t="s">
        <v>161</v>
      </c>
      <c r="EH152">
        <v>0</v>
      </c>
      <c r="EI152" t="s">
        <v>3</v>
      </c>
      <c r="EJ152">
        <v>4</v>
      </c>
      <c r="EK152">
        <v>381</v>
      </c>
      <c r="EL152" t="s">
        <v>166</v>
      </c>
      <c r="EM152" t="s">
        <v>167</v>
      </c>
      <c r="EO152" t="s">
        <v>3</v>
      </c>
      <c r="EQ152">
        <v>0</v>
      </c>
      <c r="ER152">
        <v>14.24</v>
      </c>
      <c r="ES152">
        <v>0</v>
      </c>
      <c r="ET152">
        <v>0</v>
      </c>
      <c r="EU152">
        <v>0</v>
      </c>
      <c r="EV152">
        <v>14.24</v>
      </c>
      <c r="EW152">
        <v>0.9</v>
      </c>
      <c r="EX152">
        <v>0</v>
      </c>
      <c r="EY152">
        <v>0</v>
      </c>
      <c r="FQ152">
        <v>0</v>
      </c>
      <c r="FR152">
        <f t="shared" si="145"/>
        <v>0</v>
      </c>
      <c r="FS152">
        <v>0</v>
      </c>
      <c r="FX152">
        <v>75</v>
      </c>
      <c r="FY152">
        <v>70</v>
      </c>
      <c r="GA152" t="s">
        <v>3</v>
      </c>
      <c r="GD152">
        <v>0</v>
      </c>
      <c r="GF152">
        <v>2068831394</v>
      </c>
      <c r="GG152">
        <v>2</v>
      </c>
      <c r="GH152">
        <v>1</v>
      </c>
      <c r="GI152">
        <v>2</v>
      </c>
      <c r="GJ152">
        <v>0</v>
      </c>
      <c r="GK152">
        <f>ROUND(R152*(R12)/100,2)</f>
        <v>0</v>
      </c>
      <c r="GL152">
        <f t="shared" si="146"/>
        <v>0</v>
      </c>
      <c r="GM152">
        <f t="shared" si="147"/>
        <v>721.14</v>
      </c>
      <c r="GN152">
        <f t="shared" si="148"/>
        <v>0</v>
      </c>
      <c r="GO152">
        <f t="shared" si="149"/>
        <v>0</v>
      </c>
      <c r="GP152">
        <f t="shared" si="150"/>
        <v>721.14</v>
      </c>
      <c r="GR152">
        <v>0</v>
      </c>
      <c r="GS152">
        <v>0</v>
      </c>
      <c r="GT152">
        <v>0</v>
      </c>
      <c r="GU152" t="s">
        <v>3</v>
      </c>
      <c r="GV152">
        <f t="shared" si="151"/>
        <v>0</v>
      </c>
      <c r="GW152">
        <v>1</v>
      </c>
      <c r="GX152">
        <f t="shared" si="152"/>
        <v>0</v>
      </c>
      <c r="HA152">
        <v>0</v>
      </c>
      <c r="HB152">
        <v>0</v>
      </c>
      <c r="HC152">
        <f t="shared" si="153"/>
        <v>0</v>
      </c>
      <c r="IK152">
        <v>0</v>
      </c>
    </row>
    <row r="153" spans="1:245" x14ac:dyDescent="0.2">
      <c r="A153">
        <v>17</v>
      </c>
      <c r="B153">
        <v>1</v>
      </c>
      <c r="C153">
        <f>ROW(SmtRes!A23)</f>
        <v>23</v>
      </c>
      <c r="D153">
        <f>ROW(EtalonRes!A24)</f>
        <v>24</v>
      </c>
      <c r="E153" t="s">
        <v>177</v>
      </c>
      <c r="F153" t="s">
        <v>178</v>
      </c>
      <c r="G153" t="s">
        <v>179</v>
      </c>
      <c r="H153" t="s">
        <v>175</v>
      </c>
      <c r="I153">
        <v>1</v>
      </c>
      <c r="J153">
        <v>0</v>
      </c>
      <c r="O153">
        <f t="shared" si="120"/>
        <v>690.31</v>
      </c>
      <c r="P153">
        <f t="shared" si="121"/>
        <v>0</v>
      </c>
      <c r="Q153">
        <f t="shared" si="122"/>
        <v>0</v>
      </c>
      <c r="R153">
        <f t="shared" si="123"/>
        <v>0</v>
      </c>
      <c r="S153">
        <f t="shared" si="124"/>
        <v>690.31</v>
      </c>
      <c r="T153">
        <f t="shared" si="125"/>
        <v>0</v>
      </c>
      <c r="U153">
        <f t="shared" si="126"/>
        <v>1.8</v>
      </c>
      <c r="V153">
        <f t="shared" si="127"/>
        <v>0</v>
      </c>
      <c r="W153">
        <f t="shared" si="128"/>
        <v>0</v>
      </c>
      <c r="X153">
        <f t="shared" si="129"/>
        <v>469.41</v>
      </c>
      <c r="Y153">
        <f t="shared" si="129"/>
        <v>283.02999999999997</v>
      </c>
      <c r="AA153">
        <v>36226623</v>
      </c>
      <c r="AB153">
        <f t="shared" si="130"/>
        <v>28.49</v>
      </c>
      <c r="AC153">
        <f t="shared" si="131"/>
        <v>0</v>
      </c>
      <c r="AD153">
        <f t="shared" si="131"/>
        <v>0</v>
      </c>
      <c r="AE153">
        <f t="shared" si="131"/>
        <v>0</v>
      </c>
      <c r="AF153">
        <f t="shared" si="131"/>
        <v>28.49</v>
      </c>
      <c r="AG153">
        <f t="shared" si="132"/>
        <v>0</v>
      </c>
      <c r="AH153">
        <f t="shared" si="133"/>
        <v>1.8</v>
      </c>
      <c r="AI153">
        <f t="shared" si="133"/>
        <v>0</v>
      </c>
      <c r="AJ153">
        <f t="shared" si="134"/>
        <v>0</v>
      </c>
      <c r="AK153">
        <v>28.49</v>
      </c>
      <c r="AL153">
        <v>0</v>
      </c>
      <c r="AM153">
        <v>0</v>
      </c>
      <c r="AN153">
        <v>0</v>
      </c>
      <c r="AO153">
        <v>28.49</v>
      </c>
      <c r="AP153">
        <v>0</v>
      </c>
      <c r="AQ153">
        <v>1.8</v>
      </c>
      <c r="AR153">
        <v>0</v>
      </c>
      <c r="AS153">
        <v>0</v>
      </c>
      <c r="AT153">
        <v>68</v>
      </c>
      <c r="AU153">
        <v>41</v>
      </c>
      <c r="AV153">
        <v>1</v>
      </c>
      <c r="AW153">
        <v>1</v>
      </c>
      <c r="AZ153">
        <v>1</v>
      </c>
      <c r="BA153">
        <v>24.23</v>
      </c>
      <c r="BB153">
        <v>1</v>
      </c>
      <c r="BC153">
        <v>1</v>
      </c>
      <c r="BD153" t="s">
        <v>3</v>
      </c>
      <c r="BE153" t="s">
        <v>3</v>
      </c>
      <c r="BF153" t="s">
        <v>3</v>
      </c>
      <c r="BG153" t="s">
        <v>3</v>
      </c>
      <c r="BH153">
        <v>0</v>
      </c>
      <c r="BI153">
        <v>4</v>
      </c>
      <c r="BJ153" t="s">
        <v>180</v>
      </c>
      <c r="BM153">
        <v>381</v>
      </c>
      <c r="BN153">
        <v>0</v>
      </c>
      <c r="BO153" t="s">
        <v>125</v>
      </c>
      <c r="BP153">
        <v>1</v>
      </c>
      <c r="BQ153">
        <v>50</v>
      </c>
      <c r="BR153">
        <v>0</v>
      </c>
      <c r="BS153">
        <v>1</v>
      </c>
      <c r="BT153">
        <v>1</v>
      </c>
      <c r="BU153">
        <v>1</v>
      </c>
      <c r="BV153">
        <v>1</v>
      </c>
      <c r="BW153">
        <v>1</v>
      </c>
      <c r="BX153">
        <v>1</v>
      </c>
      <c r="BY153" t="s">
        <v>3</v>
      </c>
      <c r="BZ153">
        <v>68</v>
      </c>
      <c r="CA153">
        <v>41</v>
      </c>
      <c r="CE153">
        <v>0</v>
      </c>
      <c r="CF153">
        <v>0</v>
      </c>
      <c r="CG153">
        <v>0</v>
      </c>
      <c r="CM153">
        <v>0</v>
      </c>
      <c r="CN153" t="s">
        <v>3</v>
      </c>
      <c r="CO153">
        <v>0</v>
      </c>
      <c r="CP153">
        <f t="shared" si="135"/>
        <v>690.31</v>
      </c>
      <c r="CQ153">
        <f t="shared" si="136"/>
        <v>0</v>
      </c>
      <c r="CR153">
        <f t="shared" si="137"/>
        <v>0</v>
      </c>
      <c r="CS153">
        <f t="shared" si="138"/>
        <v>0</v>
      </c>
      <c r="CT153">
        <f t="shared" si="139"/>
        <v>690.31269999999995</v>
      </c>
      <c r="CU153">
        <f t="shared" si="140"/>
        <v>0</v>
      </c>
      <c r="CV153">
        <f t="shared" si="141"/>
        <v>1.8</v>
      </c>
      <c r="CW153">
        <f t="shared" si="142"/>
        <v>0</v>
      </c>
      <c r="CX153">
        <f t="shared" si="142"/>
        <v>0</v>
      </c>
      <c r="CY153">
        <f t="shared" si="143"/>
        <v>469.41079999999999</v>
      </c>
      <c r="CZ153">
        <f t="shared" si="144"/>
        <v>283.02709999999996</v>
      </c>
      <c r="DC153" t="s">
        <v>3</v>
      </c>
      <c r="DD153" t="s">
        <v>3</v>
      </c>
      <c r="DE153" t="s">
        <v>3</v>
      </c>
      <c r="DF153" t="s">
        <v>3</v>
      </c>
      <c r="DG153" t="s">
        <v>3</v>
      </c>
      <c r="DH153" t="s">
        <v>3</v>
      </c>
      <c r="DI153" t="s">
        <v>3</v>
      </c>
      <c r="DJ153" t="s">
        <v>3</v>
      </c>
      <c r="DK153" t="s">
        <v>3</v>
      </c>
      <c r="DL153" t="s">
        <v>3</v>
      </c>
      <c r="DM153" t="s">
        <v>3</v>
      </c>
      <c r="DN153">
        <v>75</v>
      </c>
      <c r="DO153">
        <v>70</v>
      </c>
      <c r="DP153">
        <v>1</v>
      </c>
      <c r="DQ153">
        <v>1</v>
      </c>
      <c r="DU153">
        <v>1013</v>
      </c>
      <c r="DV153" t="s">
        <v>175</v>
      </c>
      <c r="DW153" t="s">
        <v>175</v>
      </c>
      <c r="DX153">
        <v>1</v>
      </c>
      <c r="EE153">
        <v>31686158</v>
      </c>
      <c r="EF153">
        <v>50</v>
      </c>
      <c r="EG153" t="s">
        <v>161</v>
      </c>
      <c r="EH153">
        <v>0</v>
      </c>
      <c r="EI153" t="s">
        <v>3</v>
      </c>
      <c r="EJ153">
        <v>4</v>
      </c>
      <c r="EK153">
        <v>381</v>
      </c>
      <c r="EL153" t="s">
        <v>166</v>
      </c>
      <c r="EM153" t="s">
        <v>167</v>
      </c>
      <c r="EO153" t="s">
        <v>3</v>
      </c>
      <c r="EQ153">
        <v>0</v>
      </c>
      <c r="ER153">
        <v>28.49</v>
      </c>
      <c r="ES153">
        <v>0</v>
      </c>
      <c r="ET153">
        <v>0</v>
      </c>
      <c r="EU153">
        <v>0</v>
      </c>
      <c r="EV153">
        <v>28.49</v>
      </c>
      <c r="EW153">
        <v>1.8</v>
      </c>
      <c r="EX153">
        <v>0</v>
      </c>
      <c r="EY153">
        <v>0</v>
      </c>
      <c r="FQ153">
        <v>0</v>
      </c>
      <c r="FR153">
        <f t="shared" si="145"/>
        <v>0</v>
      </c>
      <c r="FS153">
        <v>0</v>
      </c>
      <c r="FX153">
        <v>75</v>
      </c>
      <c r="FY153">
        <v>70</v>
      </c>
      <c r="GA153" t="s">
        <v>3</v>
      </c>
      <c r="GD153">
        <v>0</v>
      </c>
      <c r="GF153">
        <v>298827655</v>
      </c>
      <c r="GG153">
        <v>2</v>
      </c>
      <c r="GH153">
        <v>1</v>
      </c>
      <c r="GI153">
        <v>2</v>
      </c>
      <c r="GJ153">
        <v>0</v>
      </c>
      <c r="GK153">
        <f>ROUND(R153*(R12)/100,2)</f>
        <v>0</v>
      </c>
      <c r="GL153">
        <f t="shared" si="146"/>
        <v>0</v>
      </c>
      <c r="GM153">
        <f t="shared" si="147"/>
        <v>1442.75</v>
      </c>
      <c r="GN153">
        <f t="shared" si="148"/>
        <v>0</v>
      </c>
      <c r="GO153">
        <f t="shared" si="149"/>
        <v>0</v>
      </c>
      <c r="GP153">
        <f t="shared" si="150"/>
        <v>1442.75</v>
      </c>
      <c r="GR153">
        <v>0</v>
      </c>
      <c r="GS153">
        <v>0</v>
      </c>
      <c r="GT153">
        <v>0</v>
      </c>
      <c r="GU153" t="s">
        <v>3</v>
      </c>
      <c r="GV153">
        <f t="shared" si="151"/>
        <v>0</v>
      </c>
      <c r="GW153">
        <v>1</v>
      </c>
      <c r="GX153">
        <f t="shared" si="152"/>
        <v>0</v>
      </c>
      <c r="HA153">
        <v>0</v>
      </c>
      <c r="HB153">
        <v>0</v>
      </c>
      <c r="HC153">
        <f t="shared" si="153"/>
        <v>0</v>
      </c>
      <c r="IK153">
        <v>0</v>
      </c>
    </row>
    <row r="154" spans="1:245" x14ac:dyDescent="0.2">
      <c r="A154">
        <v>17</v>
      </c>
      <c r="B154">
        <v>1</v>
      </c>
      <c r="C154">
        <f>ROW(SmtRes!A24)</f>
        <v>24</v>
      </c>
      <c r="D154">
        <f>ROW(EtalonRes!A25)</f>
        <v>25</v>
      </c>
      <c r="E154" t="s">
        <v>181</v>
      </c>
      <c r="F154" t="s">
        <v>182</v>
      </c>
      <c r="G154" t="s">
        <v>183</v>
      </c>
      <c r="H154" t="s">
        <v>184</v>
      </c>
      <c r="I154">
        <v>1</v>
      </c>
      <c r="J154">
        <v>0</v>
      </c>
      <c r="O154">
        <f t="shared" si="120"/>
        <v>179.54</v>
      </c>
      <c r="P154">
        <f t="shared" si="121"/>
        <v>0</v>
      </c>
      <c r="Q154">
        <f t="shared" si="122"/>
        <v>0</v>
      </c>
      <c r="R154">
        <f t="shared" si="123"/>
        <v>0</v>
      </c>
      <c r="S154">
        <f t="shared" si="124"/>
        <v>179.54</v>
      </c>
      <c r="T154">
        <f t="shared" si="125"/>
        <v>0</v>
      </c>
      <c r="U154">
        <f t="shared" si="126"/>
        <v>0.46799999999999997</v>
      </c>
      <c r="V154">
        <f t="shared" si="127"/>
        <v>0</v>
      </c>
      <c r="W154">
        <f t="shared" si="128"/>
        <v>0</v>
      </c>
      <c r="X154">
        <f t="shared" si="129"/>
        <v>122.09</v>
      </c>
      <c r="Y154">
        <f t="shared" si="129"/>
        <v>73.61</v>
      </c>
      <c r="AA154">
        <v>36226623</v>
      </c>
      <c r="AB154">
        <f t="shared" si="130"/>
        <v>7.41</v>
      </c>
      <c r="AC154">
        <f t="shared" ref="AC154:AE157" si="154">ROUND((ES154),2)</f>
        <v>0</v>
      </c>
      <c r="AD154">
        <f t="shared" si="154"/>
        <v>0</v>
      </c>
      <c r="AE154">
        <f t="shared" si="154"/>
        <v>0</v>
      </c>
      <c r="AF154">
        <f>ROUND(((EV154*1.3)),2)</f>
        <v>7.41</v>
      </c>
      <c r="AG154">
        <f t="shared" si="132"/>
        <v>0</v>
      </c>
      <c r="AH154">
        <f>((EW154*1.3))</f>
        <v>0.46799999999999997</v>
      </c>
      <c r="AI154">
        <f>(EX154)</f>
        <v>0</v>
      </c>
      <c r="AJ154">
        <f t="shared" si="134"/>
        <v>0</v>
      </c>
      <c r="AK154">
        <v>5.7</v>
      </c>
      <c r="AL154">
        <v>0</v>
      </c>
      <c r="AM154">
        <v>0</v>
      </c>
      <c r="AN154">
        <v>0</v>
      </c>
      <c r="AO154">
        <v>5.7</v>
      </c>
      <c r="AP154">
        <v>0</v>
      </c>
      <c r="AQ154">
        <v>0.36</v>
      </c>
      <c r="AR154">
        <v>0</v>
      </c>
      <c r="AS154">
        <v>0</v>
      </c>
      <c r="AT154">
        <v>68</v>
      </c>
      <c r="AU154">
        <v>41</v>
      </c>
      <c r="AV154">
        <v>1</v>
      </c>
      <c r="AW154">
        <v>1</v>
      </c>
      <c r="AZ154">
        <v>1</v>
      </c>
      <c r="BA154">
        <v>24.23</v>
      </c>
      <c r="BB154">
        <v>1</v>
      </c>
      <c r="BC154">
        <v>1</v>
      </c>
      <c r="BD154" t="s">
        <v>3</v>
      </c>
      <c r="BE154" t="s">
        <v>3</v>
      </c>
      <c r="BF154" t="s">
        <v>3</v>
      </c>
      <c r="BG154" t="s">
        <v>3</v>
      </c>
      <c r="BH154">
        <v>0</v>
      </c>
      <c r="BI154">
        <v>4</v>
      </c>
      <c r="BJ154" t="s">
        <v>185</v>
      </c>
      <c r="BM154">
        <v>381</v>
      </c>
      <c r="BN154">
        <v>0</v>
      </c>
      <c r="BO154" t="s">
        <v>125</v>
      </c>
      <c r="BP154">
        <v>1</v>
      </c>
      <c r="BQ154">
        <v>50</v>
      </c>
      <c r="BR154">
        <v>0</v>
      </c>
      <c r="BS154">
        <v>1</v>
      </c>
      <c r="BT154">
        <v>1</v>
      </c>
      <c r="BU154">
        <v>1</v>
      </c>
      <c r="BV154">
        <v>1</v>
      </c>
      <c r="BW154">
        <v>1</v>
      </c>
      <c r="BX154">
        <v>1</v>
      </c>
      <c r="BY154" t="s">
        <v>3</v>
      </c>
      <c r="BZ154">
        <v>68</v>
      </c>
      <c r="CA154">
        <v>41</v>
      </c>
      <c r="CE154">
        <v>0</v>
      </c>
      <c r="CF154">
        <v>0</v>
      </c>
      <c r="CG154">
        <v>0</v>
      </c>
      <c r="CM154">
        <v>0</v>
      </c>
      <c r="CN154" t="s">
        <v>186</v>
      </c>
      <c r="CO154">
        <v>0</v>
      </c>
      <c r="CP154">
        <f t="shared" si="135"/>
        <v>179.54</v>
      </c>
      <c r="CQ154">
        <f t="shared" si="136"/>
        <v>0</v>
      </c>
      <c r="CR154">
        <f t="shared" si="137"/>
        <v>0</v>
      </c>
      <c r="CS154">
        <f t="shared" si="138"/>
        <v>0</v>
      </c>
      <c r="CT154">
        <f t="shared" si="139"/>
        <v>179.54429999999999</v>
      </c>
      <c r="CU154">
        <f t="shared" si="140"/>
        <v>0</v>
      </c>
      <c r="CV154">
        <f t="shared" si="141"/>
        <v>0.46799999999999997</v>
      </c>
      <c r="CW154">
        <f t="shared" si="142"/>
        <v>0</v>
      </c>
      <c r="CX154">
        <f t="shared" si="142"/>
        <v>0</v>
      </c>
      <c r="CY154">
        <f t="shared" si="143"/>
        <v>122.08720000000001</v>
      </c>
      <c r="CZ154">
        <f t="shared" si="144"/>
        <v>73.611399999999989</v>
      </c>
      <c r="DC154" t="s">
        <v>3</v>
      </c>
      <c r="DD154" t="s">
        <v>3</v>
      </c>
      <c r="DE154" t="s">
        <v>3</v>
      </c>
      <c r="DF154" t="s">
        <v>3</v>
      </c>
      <c r="DG154" t="s">
        <v>187</v>
      </c>
      <c r="DH154" t="s">
        <v>3</v>
      </c>
      <c r="DI154" t="s">
        <v>187</v>
      </c>
      <c r="DJ154" t="s">
        <v>3</v>
      </c>
      <c r="DK154" t="s">
        <v>3</v>
      </c>
      <c r="DL154" t="s">
        <v>3</v>
      </c>
      <c r="DM154" t="s">
        <v>3</v>
      </c>
      <c r="DN154">
        <v>75</v>
      </c>
      <c r="DO154">
        <v>70</v>
      </c>
      <c r="DP154">
        <v>1</v>
      </c>
      <c r="DQ154">
        <v>1</v>
      </c>
      <c r="DU154">
        <v>1013</v>
      </c>
      <c r="DV154" t="s">
        <v>184</v>
      </c>
      <c r="DW154" t="s">
        <v>184</v>
      </c>
      <c r="DX154">
        <v>1</v>
      </c>
      <c r="EE154">
        <v>31686158</v>
      </c>
      <c r="EF154">
        <v>50</v>
      </c>
      <c r="EG154" t="s">
        <v>161</v>
      </c>
      <c r="EH154">
        <v>0</v>
      </c>
      <c r="EI154" t="s">
        <v>3</v>
      </c>
      <c r="EJ154">
        <v>4</v>
      </c>
      <c r="EK154">
        <v>381</v>
      </c>
      <c r="EL154" t="s">
        <v>166</v>
      </c>
      <c r="EM154" t="s">
        <v>167</v>
      </c>
      <c r="EO154" t="s">
        <v>188</v>
      </c>
      <c r="EQ154">
        <v>256</v>
      </c>
      <c r="ER154">
        <v>5.7</v>
      </c>
      <c r="ES154">
        <v>0</v>
      </c>
      <c r="ET154">
        <v>0</v>
      </c>
      <c r="EU154">
        <v>0</v>
      </c>
      <c r="EV154">
        <v>5.7</v>
      </c>
      <c r="EW154">
        <v>0.36</v>
      </c>
      <c r="EX154">
        <v>0</v>
      </c>
      <c r="EY154">
        <v>0</v>
      </c>
      <c r="FQ154">
        <v>0</v>
      </c>
      <c r="FR154">
        <f t="shared" si="145"/>
        <v>0</v>
      </c>
      <c r="FS154">
        <v>0</v>
      </c>
      <c r="FX154">
        <v>75</v>
      </c>
      <c r="FY154">
        <v>70</v>
      </c>
      <c r="GA154" t="s">
        <v>3</v>
      </c>
      <c r="GD154">
        <v>0</v>
      </c>
      <c r="GF154">
        <v>-1696171817</v>
      </c>
      <c r="GG154">
        <v>2</v>
      </c>
      <c r="GH154">
        <v>1</v>
      </c>
      <c r="GI154">
        <v>2</v>
      </c>
      <c r="GJ154">
        <v>0</v>
      </c>
      <c r="GK154">
        <f>ROUND(R154*(R12)/100,2)</f>
        <v>0</v>
      </c>
      <c r="GL154">
        <f t="shared" si="146"/>
        <v>0</v>
      </c>
      <c r="GM154">
        <f t="shared" si="147"/>
        <v>375.24</v>
      </c>
      <c r="GN154">
        <f t="shared" si="148"/>
        <v>0</v>
      </c>
      <c r="GO154">
        <f t="shared" si="149"/>
        <v>0</v>
      </c>
      <c r="GP154">
        <f t="shared" si="150"/>
        <v>375.24</v>
      </c>
      <c r="GR154">
        <v>0</v>
      </c>
      <c r="GS154">
        <v>0</v>
      </c>
      <c r="GT154">
        <v>0</v>
      </c>
      <c r="GU154" t="s">
        <v>3</v>
      </c>
      <c r="GV154">
        <f t="shared" si="151"/>
        <v>0</v>
      </c>
      <c r="GW154">
        <v>1</v>
      </c>
      <c r="GX154">
        <f t="shared" si="152"/>
        <v>0</v>
      </c>
      <c r="HA154">
        <v>0</v>
      </c>
      <c r="HB154">
        <v>0</v>
      </c>
      <c r="HC154">
        <f t="shared" si="153"/>
        <v>0</v>
      </c>
      <c r="IK154">
        <v>0</v>
      </c>
    </row>
    <row r="155" spans="1:245" x14ac:dyDescent="0.2">
      <c r="A155">
        <v>17</v>
      </c>
      <c r="B155">
        <v>1</v>
      </c>
      <c r="C155">
        <f>ROW(SmtRes!A25)</f>
        <v>25</v>
      </c>
      <c r="D155">
        <f>ROW(EtalonRes!A26)</f>
        <v>26</v>
      </c>
      <c r="E155" t="s">
        <v>189</v>
      </c>
      <c r="F155" t="s">
        <v>190</v>
      </c>
      <c r="G155" t="s">
        <v>191</v>
      </c>
      <c r="H155" t="s">
        <v>192</v>
      </c>
      <c r="I155">
        <v>2</v>
      </c>
      <c r="J155">
        <v>0</v>
      </c>
      <c r="O155">
        <f t="shared" si="120"/>
        <v>2216.08</v>
      </c>
      <c r="P155">
        <f t="shared" si="121"/>
        <v>0</v>
      </c>
      <c r="Q155">
        <f t="shared" si="122"/>
        <v>0</v>
      </c>
      <c r="R155">
        <f t="shared" si="123"/>
        <v>0</v>
      </c>
      <c r="S155">
        <f t="shared" si="124"/>
        <v>2216.08</v>
      </c>
      <c r="T155">
        <f t="shared" si="125"/>
        <v>0</v>
      </c>
      <c r="U155">
        <f t="shared" si="126"/>
        <v>5.4</v>
      </c>
      <c r="V155">
        <f t="shared" si="127"/>
        <v>0</v>
      </c>
      <c r="W155">
        <f t="shared" si="128"/>
        <v>0</v>
      </c>
      <c r="X155">
        <f t="shared" si="129"/>
        <v>1506.93</v>
      </c>
      <c r="Y155">
        <f t="shared" si="129"/>
        <v>908.59</v>
      </c>
      <c r="AA155">
        <v>36226623</v>
      </c>
      <c r="AB155">
        <f t="shared" si="130"/>
        <v>45.73</v>
      </c>
      <c r="AC155">
        <f t="shared" si="154"/>
        <v>0</v>
      </c>
      <c r="AD155">
        <f t="shared" si="154"/>
        <v>0</v>
      </c>
      <c r="AE155">
        <f t="shared" si="154"/>
        <v>0</v>
      </c>
      <c r="AF155">
        <f>ROUND((EV155),2)</f>
        <v>45.73</v>
      </c>
      <c r="AG155">
        <f t="shared" si="132"/>
        <v>0</v>
      </c>
      <c r="AH155">
        <f>(EW155)</f>
        <v>2.7</v>
      </c>
      <c r="AI155">
        <f>(EX155)</f>
        <v>0</v>
      </c>
      <c r="AJ155">
        <f t="shared" si="134"/>
        <v>0</v>
      </c>
      <c r="AK155">
        <v>45.73</v>
      </c>
      <c r="AL155">
        <v>0</v>
      </c>
      <c r="AM155">
        <v>0</v>
      </c>
      <c r="AN155">
        <v>0</v>
      </c>
      <c r="AO155">
        <v>45.73</v>
      </c>
      <c r="AP155">
        <v>0</v>
      </c>
      <c r="AQ155">
        <v>2.7</v>
      </c>
      <c r="AR155">
        <v>0</v>
      </c>
      <c r="AS155">
        <v>0</v>
      </c>
      <c r="AT155">
        <v>68</v>
      </c>
      <c r="AU155">
        <v>41</v>
      </c>
      <c r="AV155">
        <v>1</v>
      </c>
      <c r="AW155">
        <v>1</v>
      </c>
      <c r="AZ155">
        <v>1</v>
      </c>
      <c r="BA155">
        <v>24.23</v>
      </c>
      <c r="BB155">
        <v>1</v>
      </c>
      <c r="BC155">
        <v>1</v>
      </c>
      <c r="BD155" t="s">
        <v>3</v>
      </c>
      <c r="BE155" t="s">
        <v>3</v>
      </c>
      <c r="BF155" t="s">
        <v>3</v>
      </c>
      <c r="BG155" t="s">
        <v>3</v>
      </c>
      <c r="BH155">
        <v>0</v>
      </c>
      <c r="BI155">
        <v>4</v>
      </c>
      <c r="BJ155" t="s">
        <v>193</v>
      </c>
      <c r="BM155">
        <v>381</v>
      </c>
      <c r="BN155">
        <v>0</v>
      </c>
      <c r="BO155" t="s">
        <v>125</v>
      </c>
      <c r="BP155">
        <v>1</v>
      </c>
      <c r="BQ155">
        <v>50</v>
      </c>
      <c r="BR155">
        <v>0</v>
      </c>
      <c r="BS155">
        <v>1</v>
      </c>
      <c r="BT155">
        <v>1</v>
      </c>
      <c r="BU155">
        <v>1</v>
      </c>
      <c r="BV155">
        <v>1</v>
      </c>
      <c r="BW155">
        <v>1</v>
      </c>
      <c r="BX155">
        <v>1</v>
      </c>
      <c r="BY155" t="s">
        <v>3</v>
      </c>
      <c r="BZ155">
        <v>68</v>
      </c>
      <c r="CA155">
        <v>41</v>
      </c>
      <c r="CE155">
        <v>0</v>
      </c>
      <c r="CF155">
        <v>0</v>
      </c>
      <c r="CG155">
        <v>0</v>
      </c>
      <c r="CM155">
        <v>0</v>
      </c>
      <c r="CN155" t="s">
        <v>3</v>
      </c>
      <c r="CO155">
        <v>0</v>
      </c>
      <c r="CP155">
        <f t="shared" si="135"/>
        <v>2216.08</v>
      </c>
      <c r="CQ155">
        <f t="shared" si="136"/>
        <v>0</v>
      </c>
      <c r="CR155">
        <f t="shared" si="137"/>
        <v>0</v>
      </c>
      <c r="CS155">
        <f t="shared" si="138"/>
        <v>0</v>
      </c>
      <c r="CT155">
        <f t="shared" si="139"/>
        <v>1108.0379</v>
      </c>
      <c r="CU155">
        <f t="shared" si="140"/>
        <v>0</v>
      </c>
      <c r="CV155">
        <f t="shared" si="141"/>
        <v>2.7</v>
      </c>
      <c r="CW155">
        <f t="shared" si="142"/>
        <v>0</v>
      </c>
      <c r="CX155">
        <f t="shared" si="142"/>
        <v>0</v>
      </c>
      <c r="CY155">
        <f t="shared" si="143"/>
        <v>1506.9344000000001</v>
      </c>
      <c r="CZ155">
        <f t="shared" si="144"/>
        <v>908.5927999999999</v>
      </c>
      <c r="DC155" t="s">
        <v>3</v>
      </c>
      <c r="DD155" t="s">
        <v>3</v>
      </c>
      <c r="DE155" t="s">
        <v>3</v>
      </c>
      <c r="DF155" t="s">
        <v>3</v>
      </c>
      <c r="DG155" t="s">
        <v>3</v>
      </c>
      <c r="DH155" t="s">
        <v>3</v>
      </c>
      <c r="DI155" t="s">
        <v>3</v>
      </c>
      <c r="DJ155" t="s">
        <v>3</v>
      </c>
      <c r="DK155" t="s">
        <v>3</v>
      </c>
      <c r="DL155" t="s">
        <v>3</v>
      </c>
      <c r="DM155" t="s">
        <v>3</v>
      </c>
      <c r="DN155">
        <v>75</v>
      </c>
      <c r="DO155">
        <v>70</v>
      </c>
      <c r="DP155">
        <v>1</v>
      </c>
      <c r="DQ155">
        <v>1</v>
      </c>
      <c r="DU155">
        <v>1013</v>
      </c>
      <c r="DV155" t="s">
        <v>192</v>
      </c>
      <c r="DW155" t="s">
        <v>192</v>
      </c>
      <c r="DX155">
        <v>1</v>
      </c>
      <c r="EE155">
        <v>31686158</v>
      </c>
      <c r="EF155">
        <v>50</v>
      </c>
      <c r="EG155" t="s">
        <v>161</v>
      </c>
      <c r="EH155">
        <v>0</v>
      </c>
      <c r="EI155" t="s">
        <v>3</v>
      </c>
      <c r="EJ155">
        <v>4</v>
      </c>
      <c r="EK155">
        <v>381</v>
      </c>
      <c r="EL155" t="s">
        <v>166</v>
      </c>
      <c r="EM155" t="s">
        <v>167</v>
      </c>
      <c r="EO155" t="s">
        <v>3</v>
      </c>
      <c r="EQ155">
        <v>0</v>
      </c>
      <c r="ER155">
        <v>45.73</v>
      </c>
      <c r="ES155">
        <v>0</v>
      </c>
      <c r="ET155">
        <v>0</v>
      </c>
      <c r="EU155">
        <v>0</v>
      </c>
      <c r="EV155">
        <v>45.73</v>
      </c>
      <c r="EW155">
        <v>2.7</v>
      </c>
      <c r="EX155">
        <v>0</v>
      </c>
      <c r="EY155">
        <v>0</v>
      </c>
      <c r="FQ155">
        <v>0</v>
      </c>
      <c r="FR155">
        <f t="shared" si="145"/>
        <v>0</v>
      </c>
      <c r="FS155">
        <v>0</v>
      </c>
      <c r="FX155">
        <v>75</v>
      </c>
      <c r="FY155">
        <v>70</v>
      </c>
      <c r="GA155" t="s">
        <v>3</v>
      </c>
      <c r="GD155">
        <v>0</v>
      </c>
      <c r="GF155">
        <v>303387442</v>
      </c>
      <c r="GG155">
        <v>2</v>
      </c>
      <c r="GH155">
        <v>1</v>
      </c>
      <c r="GI155">
        <v>2</v>
      </c>
      <c r="GJ155">
        <v>0</v>
      </c>
      <c r="GK155">
        <f>ROUND(R155*(R12)/100,2)</f>
        <v>0</v>
      </c>
      <c r="GL155">
        <f t="shared" si="146"/>
        <v>0</v>
      </c>
      <c r="GM155">
        <f t="shared" si="147"/>
        <v>4631.6000000000004</v>
      </c>
      <c r="GN155">
        <f t="shared" si="148"/>
        <v>0</v>
      </c>
      <c r="GO155">
        <f t="shared" si="149"/>
        <v>0</v>
      </c>
      <c r="GP155">
        <f t="shared" si="150"/>
        <v>4631.6000000000004</v>
      </c>
      <c r="GR155">
        <v>0</v>
      </c>
      <c r="GS155">
        <v>0</v>
      </c>
      <c r="GT155">
        <v>0</v>
      </c>
      <c r="GU155" t="s">
        <v>3</v>
      </c>
      <c r="GV155">
        <f t="shared" si="151"/>
        <v>0</v>
      </c>
      <c r="GW155">
        <v>1</v>
      </c>
      <c r="GX155">
        <f t="shared" si="152"/>
        <v>0</v>
      </c>
      <c r="HA155">
        <v>0</v>
      </c>
      <c r="HB155">
        <v>0</v>
      </c>
      <c r="HC155">
        <f t="shared" si="153"/>
        <v>0</v>
      </c>
      <c r="IK155">
        <v>0</v>
      </c>
    </row>
    <row r="156" spans="1:245" x14ac:dyDescent="0.2">
      <c r="A156">
        <v>17</v>
      </c>
      <c r="B156">
        <v>1</v>
      </c>
      <c r="C156">
        <f>ROW(SmtRes!A26)</f>
        <v>26</v>
      </c>
      <c r="D156">
        <f>ROW(EtalonRes!A27)</f>
        <v>27</v>
      </c>
      <c r="E156" t="s">
        <v>194</v>
      </c>
      <c r="F156" t="s">
        <v>195</v>
      </c>
      <c r="G156" t="s">
        <v>196</v>
      </c>
      <c r="H156" t="s">
        <v>192</v>
      </c>
      <c r="I156">
        <v>3</v>
      </c>
      <c r="J156">
        <v>0</v>
      </c>
      <c r="O156">
        <f t="shared" si="120"/>
        <v>3173.65</v>
      </c>
      <c r="P156">
        <f t="shared" si="121"/>
        <v>0</v>
      </c>
      <c r="Q156">
        <f t="shared" si="122"/>
        <v>0</v>
      </c>
      <c r="R156">
        <f t="shared" si="123"/>
        <v>0</v>
      </c>
      <c r="S156">
        <f t="shared" si="124"/>
        <v>3173.65</v>
      </c>
      <c r="T156">
        <f t="shared" si="125"/>
        <v>0</v>
      </c>
      <c r="U156">
        <f t="shared" si="126"/>
        <v>8.1000000000000014</v>
      </c>
      <c r="V156">
        <f t="shared" si="127"/>
        <v>0</v>
      </c>
      <c r="W156">
        <f t="shared" si="128"/>
        <v>0</v>
      </c>
      <c r="X156">
        <f t="shared" si="129"/>
        <v>2158.08</v>
      </c>
      <c r="Y156">
        <f t="shared" si="129"/>
        <v>1301.2</v>
      </c>
      <c r="AA156">
        <v>36226623</v>
      </c>
      <c r="AB156">
        <f t="shared" si="130"/>
        <v>43.66</v>
      </c>
      <c r="AC156">
        <f t="shared" si="154"/>
        <v>0</v>
      </c>
      <c r="AD156">
        <f t="shared" si="154"/>
        <v>0</v>
      </c>
      <c r="AE156">
        <f t="shared" si="154"/>
        <v>0</v>
      </c>
      <c r="AF156">
        <f>ROUND((EV156),2)</f>
        <v>43.66</v>
      </c>
      <c r="AG156">
        <f t="shared" si="132"/>
        <v>0</v>
      </c>
      <c r="AH156">
        <f>(EW156)</f>
        <v>2.7</v>
      </c>
      <c r="AI156">
        <f>(EX156)</f>
        <v>0</v>
      </c>
      <c r="AJ156">
        <f t="shared" si="134"/>
        <v>0</v>
      </c>
      <c r="AK156">
        <v>43.66</v>
      </c>
      <c r="AL156">
        <v>0</v>
      </c>
      <c r="AM156">
        <v>0</v>
      </c>
      <c r="AN156">
        <v>0</v>
      </c>
      <c r="AO156">
        <v>43.66</v>
      </c>
      <c r="AP156">
        <v>0</v>
      </c>
      <c r="AQ156">
        <v>2.7</v>
      </c>
      <c r="AR156">
        <v>0</v>
      </c>
      <c r="AS156">
        <v>0</v>
      </c>
      <c r="AT156">
        <v>68</v>
      </c>
      <c r="AU156">
        <v>41</v>
      </c>
      <c r="AV156">
        <v>1</v>
      </c>
      <c r="AW156">
        <v>1</v>
      </c>
      <c r="AZ156">
        <v>1</v>
      </c>
      <c r="BA156">
        <v>24.23</v>
      </c>
      <c r="BB156">
        <v>1</v>
      </c>
      <c r="BC156">
        <v>1</v>
      </c>
      <c r="BD156" t="s">
        <v>3</v>
      </c>
      <c r="BE156" t="s">
        <v>3</v>
      </c>
      <c r="BF156" t="s">
        <v>3</v>
      </c>
      <c r="BG156" t="s">
        <v>3</v>
      </c>
      <c r="BH156">
        <v>0</v>
      </c>
      <c r="BI156">
        <v>4</v>
      </c>
      <c r="BJ156" t="s">
        <v>197</v>
      </c>
      <c r="BM156">
        <v>381</v>
      </c>
      <c r="BN156">
        <v>0</v>
      </c>
      <c r="BO156" t="s">
        <v>125</v>
      </c>
      <c r="BP156">
        <v>1</v>
      </c>
      <c r="BQ156">
        <v>50</v>
      </c>
      <c r="BR156">
        <v>0</v>
      </c>
      <c r="BS156">
        <v>1</v>
      </c>
      <c r="BT156">
        <v>1</v>
      </c>
      <c r="BU156">
        <v>1</v>
      </c>
      <c r="BV156">
        <v>1</v>
      </c>
      <c r="BW156">
        <v>1</v>
      </c>
      <c r="BX156">
        <v>1</v>
      </c>
      <c r="BY156" t="s">
        <v>3</v>
      </c>
      <c r="BZ156">
        <v>68</v>
      </c>
      <c r="CA156">
        <v>41</v>
      </c>
      <c r="CE156">
        <v>0</v>
      </c>
      <c r="CF156">
        <v>0</v>
      </c>
      <c r="CG156">
        <v>0</v>
      </c>
      <c r="CM156">
        <v>0</v>
      </c>
      <c r="CN156" t="s">
        <v>3</v>
      </c>
      <c r="CO156">
        <v>0</v>
      </c>
      <c r="CP156">
        <f t="shared" si="135"/>
        <v>3173.65</v>
      </c>
      <c r="CQ156">
        <f t="shared" si="136"/>
        <v>0</v>
      </c>
      <c r="CR156">
        <f t="shared" si="137"/>
        <v>0</v>
      </c>
      <c r="CS156">
        <f t="shared" si="138"/>
        <v>0</v>
      </c>
      <c r="CT156">
        <f t="shared" si="139"/>
        <v>1057.8817999999999</v>
      </c>
      <c r="CU156">
        <f t="shared" si="140"/>
        <v>0</v>
      </c>
      <c r="CV156">
        <f t="shared" si="141"/>
        <v>2.7</v>
      </c>
      <c r="CW156">
        <f t="shared" si="142"/>
        <v>0</v>
      </c>
      <c r="CX156">
        <f t="shared" si="142"/>
        <v>0</v>
      </c>
      <c r="CY156">
        <f t="shared" si="143"/>
        <v>2158.0820000000003</v>
      </c>
      <c r="CZ156">
        <f t="shared" si="144"/>
        <v>1301.1965</v>
      </c>
      <c r="DC156" t="s">
        <v>3</v>
      </c>
      <c r="DD156" t="s">
        <v>3</v>
      </c>
      <c r="DE156" t="s">
        <v>3</v>
      </c>
      <c r="DF156" t="s">
        <v>3</v>
      </c>
      <c r="DG156" t="s">
        <v>3</v>
      </c>
      <c r="DH156" t="s">
        <v>3</v>
      </c>
      <c r="DI156" t="s">
        <v>3</v>
      </c>
      <c r="DJ156" t="s">
        <v>3</v>
      </c>
      <c r="DK156" t="s">
        <v>3</v>
      </c>
      <c r="DL156" t="s">
        <v>3</v>
      </c>
      <c r="DM156" t="s">
        <v>3</v>
      </c>
      <c r="DN156">
        <v>75</v>
      </c>
      <c r="DO156">
        <v>70</v>
      </c>
      <c r="DP156">
        <v>1</v>
      </c>
      <c r="DQ156">
        <v>1</v>
      </c>
      <c r="DU156">
        <v>1013</v>
      </c>
      <c r="DV156" t="s">
        <v>192</v>
      </c>
      <c r="DW156" t="s">
        <v>192</v>
      </c>
      <c r="DX156">
        <v>1</v>
      </c>
      <c r="EE156">
        <v>31686158</v>
      </c>
      <c r="EF156">
        <v>50</v>
      </c>
      <c r="EG156" t="s">
        <v>161</v>
      </c>
      <c r="EH156">
        <v>0</v>
      </c>
      <c r="EI156" t="s">
        <v>3</v>
      </c>
      <c r="EJ156">
        <v>4</v>
      </c>
      <c r="EK156">
        <v>381</v>
      </c>
      <c r="EL156" t="s">
        <v>166</v>
      </c>
      <c r="EM156" t="s">
        <v>167</v>
      </c>
      <c r="EO156" t="s">
        <v>3</v>
      </c>
      <c r="EQ156">
        <v>0</v>
      </c>
      <c r="ER156">
        <v>43.66</v>
      </c>
      <c r="ES156">
        <v>0</v>
      </c>
      <c r="ET156">
        <v>0</v>
      </c>
      <c r="EU156">
        <v>0</v>
      </c>
      <c r="EV156">
        <v>43.66</v>
      </c>
      <c r="EW156">
        <v>2.7</v>
      </c>
      <c r="EX156">
        <v>0</v>
      </c>
      <c r="EY156">
        <v>0</v>
      </c>
      <c r="FQ156">
        <v>0</v>
      </c>
      <c r="FR156">
        <f t="shared" si="145"/>
        <v>0</v>
      </c>
      <c r="FS156">
        <v>0</v>
      </c>
      <c r="FX156">
        <v>75</v>
      </c>
      <c r="FY156">
        <v>70</v>
      </c>
      <c r="GA156" t="s">
        <v>3</v>
      </c>
      <c r="GD156">
        <v>0</v>
      </c>
      <c r="GF156">
        <v>-1748688446</v>
      </c>
      <c r="GG156">
        <v>2</v>
      </c>
      <c r="GH156">
        <v>1</v>
      </c>
      <c r="GI156">
        <v>2</v>
      </c>
      <c r="GJ156">
        <v>0</v>
      </c>
      <c r="GK156">
        <f>ROUND(R156*(R12)/100,2)</f>
        <v>0</v>
      </c>
      <c r="GL156">
        <f t="shared" si="146"/>
        <v>0</v>
      </c>
      <c r="GM156">
        <f t="shared" si="147"/>
        <v>6632.93</v>
      </c>
      <c r="GN156">
        <f t="shared" si="148"/>
        <v>0</v>
      </c>
      <c r="GO156">
        <f t="shared" si="149"/>
        <v>0</v>
      </c>
      <c r="GP156">
        <f t="shared" si="150"/>
        <v>6632.93</v>
      </c>
      <c r="GR156">
        <v>0</v>
      </c>
      <c r="GS156">
        <v>0</v>
      </c>
      <c r="GT156">
        <v>0</v>
      </c>
      <c r="GU156" t="s">
        <v>3</v>
      </c>
      <c r="GV156">
        <f t="shared" si="151"/>
        <v>0</v>
      </c>
      <c r="GW156">
        <v>1</v>
      </c>
      <c r="GX156">
        <f t="shared" si="152"/>
        <v>0</v>
      </c>
      <c r="HA156">
        <v>0</v>
      </c>
      <c r="HB156">
        <v>0</v>
      </c>
      <c r="HC156">
        <f t="shared" si="153"/>
        <v>0</v>
      </c>
      <c r="IK156">
        <v>0</v>
      </c>
    </row>
    <row r="157" spans="1:245" x14ac:dyDescent="0.2">
      <c r="A157">
        <v>17</v>
      </c>
      <c r="B157">
        <v>1</v>
      </c>
      <c r="C157">
        <f>ROW(SmtRes!A27)</f>
        <v>27</v>
      </c>
      <c r="D157">
        <f>ROW(EtalonRes!A28)</f>
        <v>28</v>
      </c>
      <c r="E157" t="s">
        <v>198</v>
      </c>
      <c r="F157" t="s">
        <v>199</v>
      </c>
      <c r="G157" t="s">
        <v>200</v>
      </c>
      <c r="H157" t="s">
        <v>192</v>
      </c>
      <c r="I157">
        <v>1</v>
      </c>
      <c r="J157">
        <v>0</v>
      </c>
      <c r="O157">
        <f t="shared" si="120"/>
        <v>688.62</v>
      </c>
      <c r="P157">
        <f t="shared" si="121"/>
        <v>0</v>
      </c>
      <c r="Q157">
        <f t="shared" si="122"/>
        <v>0</v>
      </c>
      <c r="R157">
        <f t="shared" si="123"/>
        <v>0</v>
      </c>
      <c r="S157">
        <f t="shared" si="124"/>
        <v>688.62</v>
      </c>
      <c r="T157">
        <f t="shared" si="125"/>
        <v>0</v>
      </c>
      <c r="U157">
        <f t="shared" si="126"/>
        <v>1.8</v>
      </c>
      <c r="V157">
        <f t="shared" si="127"/>
        <v>0</v>
      </c>
      <c r="W157">
        <f t="shared" si="128"/>
        <v>0</v>
      </c>
      <c r="X157">
        <f t="shared" si="129"/>
        <v>468.26</v>
      </c>
      <c r="Y157">
        <f t="shared" si="129"/>
        <v>282.33</v>
      </c>
      <c r="AA157">
        <v>36226623</v>
      </c>
      <c r="AB157">
        <f t="shared" si="130"/>
        <v>28.42</v>
      </c>
      <c r="AC157">
        <f t="shared" si="154"/>
        <v>0</v>
      </c>
      <c r="AD157">
        <f t="shared" si="154"/>
        <v>0</v>
      </c>
      <c r="AE157">
        <f t="shared" si="154"/>
        <v>0</v>
      </c>
      <c r="AF157">
        <f>ROUND((EV157),2)</f>
        <v>28.42</v>
      </c>
      <c r="AG157">
        <f t="shared" si="132"/>
        <v>0</v>
      </c>
      <c r="AH157">
        <f>(EW157)</f>
        <v>1.8</v>
      </c>
      <c r="AI157">
        <f>(EX157)</f>
        <v>0</v>
      </c>
      <c r="AJ157">
        <f t="shared" si="134"/>
        <v>0</v>
      </c>
      <c r="AK157">
        <v>28.42</v>
      </c>
      <c r="AL157">
        <v>0</v>
      </c>
      <c r="AM157">
        <v>0</v>
      </c>
      <c r="AN157">
        <v>0</v>
      </c>
      <c r="AO157">
        <v>28.42</v>
      </c>
      <c r="AP157">
        <v>0</v>
      </c>
      <c r="AQ157">
        <v>1.8</v>
      </c>
      <c r="AR157">
        <v>0</v>
      </c>
      <c r="AS157">
        <v>0</v>
      </c>
      <c r="AT157">
        <v>68</v>
      </c>
      <c r="AU157">
        <v>41</v>
      </c>
      <c r="AV157">
        <v>1</v>
      </c>
      <c r="AW157">
        <v>1</v>
      </c>
      <c r="AZ157">
        <v>1</v>
      </c>
      <c r="BA157">
        <v>24.23</v>
      </c>
      <c r="BB157">
        <v>1</v>
      </c>
      <c r="BC157">
        <v>1</v>
      </c>
      <c r="BD157" t="s">
        <v>3</v>
      </c>
      <c r="BE157" t="s">
        <v>3</v>
      </c>
      <c r="BF157" t="s">
        <v>3</v>
      </c>
      <c r="BG157" t="s">
        <v>3</v>
      </c>
      <c r="BH157">
        <v>0</v>
      </c>
      <c r="BI157">
        <v>4</v>
      </c>
      <c r="BJ157" t="s">
        <v>201</v>
      </c>
      <c r="BM157">
        <v>381</v>
      </c>
      <c r="BN157">
        <v>0</v>
      </c>
      <c r="BO157" t="s">
        <v>125</v>
      </c>
      <c r="BP157">
        <v>1</v>
      </c>
      <c r="BQ157">
        <v>50</v>
      </c>
      <c r="BR157">
        <v>0</v>
      </c>
      <c r="BS157">
        <v>1</v>
      </c>
      <c r="BT157">
        <v>1</v>
      </c>
      <c r="BU157">
        <v>1</v>
      </c>
      <c r="BV157">
        <v>1</v>
      </c>
      <c r="BW157">
        <v>1</v>
      </c>
      <c r="BX157">
        <v>1</v>
      </c>
      <c r="BY157" t="s">
        <v>3</v>
      </c>
      <c r="BZ157">
        <v>68</v>
      </c>
      <c r="CA157">
        <v>41</v>
      </c>
      <c r="CE157">
        <v>0</v>
      </c>
      <c r="CF157">
        <v>0</v>
      </c>
      <c r="CG157">
        <v>0</v>
      </c>
      <c r="CM157">
        <v>0</v>
      </c>
      <c r="CN157" t="s">
        <v>3</v>
      </c>
      <c r="CO157">
        <v>0</v>
      </c>
      <c r="CP157">
        <f t="shared" si="135"/>
        <v>688.62</v>
      </c>
      <c r="CQ157">
        <f t="shared" si="136"/>
        <v>0</v>
      </c>
      <c r="CR157">
        <f t="shared" si="137"/>
        <v>0</v>
      </c>
      <c r="CS157">
        <f t="shared" si="138"/>
        <v>0</v>
      </c>
      <c r="CT157">
        <f t="shared" si="139"/>
        <v>688.61660000000006</v>
      </c>
      <c r="CU157">
        <f t="shared" si="140"/>
        <v>0</v>
      </c>
      <c r="CV157">
        <f t="shared" si="141"/>
        <v>1.8</v>
      </c>
      <c r="CW157">
        <f t="shared" si="142"/>
        <v>0</v>
      </c>
      <c r="CX157">
        <f t="shared" si="142"/>
        <v>0</v>
      </c>
      <c r="CY157">
        <f t="shared" si="143"/>
        <v>468.26160000000004</v>
      </c>
      <c r="CZ157">
        <f t="shared" si="144"/>
        <v>282.33420000000001</v>
      </c>
      <c r="DC157" t="s">
        <v>3</v>
      </c>
      <c r="DD157" t="s">
        <v>3</v>
      </c>
      <c r="DE157" t="s">
        <v>3</v>
      </c>
      <c r="DF157" t="s">
        <v>3</v>
      </c>
      <c r="DG157" t="s">
        <v>3</v>
      </c>
      <c r="DH157" t="s">
        <v>3</v>
      </c>
      <c r="DI157" t="s">
        <v>3</v>
      </c>
      <c r="DJ157" t="s">
        <v>3</v>
      </c>
      <c r="DK157" t="s">
        <v>3</v>
      </c>
      <c r="DL157" t="s">
        <v>3</v>
      </c>
      <c r="DM157" t="s">
        <v>3</v>
      </c>
      <c r="DN157">
        <v>75</v>
      </c>
      <c r="DO157">
        <v>70</v>
      </c>
      <c r="DP157">
        <v>1</v>
      </c>
      <c r="DQ157">
        <v>1</v>
      </c>
      <c r="DU157">
        <v>1013</v>
      </c>
      <c r="DV157" t="s">
        <v>192</v>
      </c>
      <c r="DW157" t="s">
        <v>192</v>
      </c>
      <c r="DX157">
        <v>1</v>
      </c>
      <c r="EE157">
        <v>31686158</v>
      </c>
      <c r="EF157">
        <v>50</v>
      </c>
      <c r="EG157" t="s">
        <v>161</v>
      </c>
      <c r="EH157">
        <v>0</v>
      </c>
      <c r="EI157" t="s">
        <v>3</v>
      </c>
      <c r="EJ157">
        <v>4</v>
      </c>
      <c r="EK157">
        <v>381</v>
      </c>
      <c r="EL157" t="s">
        <v>166</v>
      </c>
      <c r="EM157" t="s">
        <v>167</v>
      </c>
      <c r="EO157" t="s">
        <v>3</v>
      </c>
      <c r="EQ157">
        <v>0</v>
      </c>
      <c r="ER157">
        <v>28.42</v>
      </c>
      <c r="ES157">
        <v>0</v>
      </c>
      <c r="ET157">
        <v>0</v>
      </c>
      <c r="EU157">
        <v>0</v>
      </c>
      <c r="EV157">
        <v>28.42</v>
      </c>
      <c r="EW157">
        <v>1.8</v>
      </c>
      <c r="EX157">
        <v>0</v>
      </c>
      <c r="EY157">
        <v>0</v>
      </c>
      <c r="FQ157">
        <v>0</v>
      </c>
      <c r="FR157">
        <f t="shared" si="145"/>
        <v>0</v>
      </c>
      <c r="FS157">
        <v>0</v>
      </c>
      <c r="FX157">
        <v>75</v>
      </c>
      <c r="FY157">
        <v>70</v>
      </c>
      <c r="GA157" t="s">
        <v>3</v>
      </c>
      <c r="GD157">
        <v>0</v>
      </c>
      <c r="GF157">
        <v>-691218862</v>
      </c>
      <c r="GG157">
        <v>2</v>
      </c>
      <c r="GH157">
        <v>1</v>
      </c>
      <c r="GI157">
        <v>2</v>
      </c>
      <c r="GJ157">
        <v>0</v>
      </c>
      <c r="GK157">
        <f>ROUND(R157*(R12)/100,2)</f>
        <v>0</v>
      </c>
      <c r="GL157">
        <f t="shared" si="146"/>
        <v>0</v>
      </c>
      <c r="GM157">
        <f t="shared" si="147"/>
        <v>1439.21</v>
      </c>
      <c r="GN157">
        <f t="shared" si="148"/>
        <v>0</v>
      </c>
      <c r="GO157">
        <f t="shared" si="149"/>
        <v>0</v>
      </c>
      <c r="GP157">
        <f t="shared" si="150"/>
        <v>1439.21</v>
      </c>
      <c r="GR157">
        <v>0</v>
      </c>
      <c r="GS157">
        <v>0</v>
      </c>
      <c r="GT157">
        <v>0</v>
      </c>
      <c r="GU157" t="s">
        <v>3</v>
      </c>
      <c r="GV157">
        <f t="shared" si="151"/>
        <v>0</v>
      </c>
      <c r="GW157">
        <v>1</v>
      </c>
      <c r="GX157">
        <f t="shared" si="152"/>
        <v>0</v>
      </c>
      <c r="HA157">
        <v>0</v>
      </c>
      <c r="HB157">
        <v>0</v>
      </c>
      <c r="HC157">
        <f t="shared" si="153"/>
        <v>0</v>
      </c>
      <c r="IK157">
        <v>0</v>
      </c>
    </row>
    <row r="159" spans="1:245" x14ac:dyDescent="0.2">
      <c r="A159" s="2">
        <v>51</v>
      </c>
      <c r="B159" s="2">
        <f>B146</f>
        <v>1</v>
      </c>
      <c r="C159" s="2">
        <f>A146</f>
        <v>4</v>
      </c>
      <c r="D159" s="2">
        <f>ROW(A146)</f>
        <v>146</v>
      </c>
      <c r="E159" s="2"/>
      <c r="F159" s="2" t="str">
        <f>IF(F146&lt;&gt;"",F146,"")</f>
        <v>4</v>
      </c>
      <c r="G159" s="2" t="str">
        <f>IF(G146&lt;&gt;"",G146,"")</f>
        <v>Пусконаладочные работы</v>
      </c>
      <c r="H159" s="2">
        <v>0</v>
      </c>
      <c r="I159" s="2"/>
      <c r="J159" s="2"/>
      <c r="K159" s="2"/>
      <c r="L159" s="2"/>
      <c r="M159" s="2"/>
      <c r="N159" s="2"/>
      <c r="O159" s="2">
        <f t="shared" ref="O159:T159" si="155">ROUND(AB159,2)</f>
        <v>23988.68</v>
      </c>
      <c r="P159" s="2">
        <f t="shared" si="155"/>
        <v>0</v>
      </c>
      <c r="Q159" s="2">
        <f t="shared" si="155"/>
        <v>0</v>
      </c>
      <c r="R159" s="2">
        <f t="shared" si="155"/>
        <v>0</v>
      </c>
      <c r="S159" s="2">
        <f t="shared" si="155"/>
        <v>23988.68</v>
      </c>
      <c r="T159" s="2">
        <f t="shared" si="155"/>
        <v>0</v>
      </c>
      <c r="U159" s="2">
        <f>AH159</f>
        <v>65.767999999999986</v>
      </c>
      <c r="V159" s="2">
        <f>AI159</f>
        <v>0</v>
      </c>
      <c r="W159" s="2">
        <f>ROUND(AJ159,2)</f>
        <v>0</v>
      </c>
      <c r="X159" s="2">
        <f>ROUND(AK159,2)</f>
        <v>16312.3</v>
      </c>
      <c r="Y159" s="2">
        <f>ROUND(AL159,2)</f>
        <v>9835.36</v>
      </c>
      <c r="Z159" s="2"/>
      <c r="AA159" s="2"/>
      <c r="AB159" s="2">
        <f>ROUND(SUMIF(AA150:AA157,"=36226623",O150:O157),2)</f>
        <v>23988.68</v>
      </c>
      <c r="AC159" s="2">
        <f>ROUND(SUMIF(AA150:AA157,"=36226623",P150:P157),2)</f>
        <v>0</v>
      </c>
      <c r="AD159" s="2">
        <f>ROUND(SUMIF(AA150:AA157,"=36226623",Q150:Q157),2)</f>
        <v>0</v>
      </c>
      <c r="AE159" s="2">
        <f>ROUND(SUMIF(AA150:AA157,"=36226623",R150:R157),2)</f>
        <v>0</v>
      </c>
      <c r="AF159" s="2">
        <f>ROUND(SUMIF(AA150:AA157,"=36226623",S150:S157),2)</f>
        <v>23988.68</v>
      </c>
      <c r="AG159" s="2">
        <f>ROUND(SUMIF(AA150:AA157,"=36226623",T150:T157),2)</f>
        <v>0</v>
      </c>
      <c r="AH159" s="2">
        <f>SUMIF(AA150:AA157,"=36226623",U150:U157)</f>
        <v>65.767999999999986</v>
      </c>
      <c r="AI159" s="2">
        <f>SUMIF(AA150:AA157,"=36226623",V150:V157)</f>
        <v>0</v>
      </c>
      <c r="AJ159" s="2">
        <f>ROUND(SUMIF(AA150:AA157,"=36226623",W150:W157),2)</f>
        <v>0</v>
      </c>
      <c r="AK159" s="2">
        <f>ROUND(SUMIF(AA150:AA157,"=36226623",X150:X157),2)</f>
        <v>16312.3</v>
      </c>
      <c r="AL159" s="2">
        <f>ROUND(SUMIF(AA150:AA157,"=36226623",Y150:Y157),2)</f>
        <v>9835.36</v>
      </c>
      <c r="AM159" s="2"/>
      <c r="AN159" s="2"/>
      <c r="AO159" s="2">
        <f t="shared" ref="AO159:BD159" si="156">ROUND(BX159,2)</f>
        <v>0</v>
      </c>
      <c r="AP159" s="2">
        <f t="shared" si="156"/>
        <v>0</v>
      </c>
      <c r="AQ159" s="2">
        <f t="shared" si="156"/>
        <v>0</v>
      </c>
      <c r="AR159" s="2">
        <f t="shared" si="156"/>
        <v>50136.34</v>
      </c>
      <c r="AS159" s="2">
        <f t="shared" si="156"/>
        <v>0</v>
      </c>
      <c r="AT159" s="2">
        <f t="shared" si="156"/>
        <v>0</v>
      </c>
      <c r="AU159" s="2">
        <f t="shared" si="156"/>
        <v>50136.34</v>
      </c>
      <c r="AV159" s="2">
        <f t="shared" si="156"/>
        <v>0</v>
      </c>
      <c r="AW159" s="2">
        <f t="shared" si="156"/>
        <v>0</v>
      </c>
      <c r="AX159" s="2">
        <f t="shared" si="156"/>
        <v>0</v>
      </c>
      <c r="AY159" s="2">
        <f t="shared" si="156"/>
        <v>0</v>
      </c>
      <c r="AZ159" s="2">
        <f t="shared" si="156"/>
        <v>0</v>
      </c>
      <c r="BA159" s="2">
        <f t="shared" si="156"/>
        <v>0</v>
      </c>
      <c r="BB159" s="2">
        <f t="shared" si="156"/>
        <v>0</v>
      </c>
      <c r="BC159" s="2">
        <f t="shared" si="156"/>
        <v>0</v>
      </c>
      <c r="BD159" s="2">
        <f t="shared" si="156"/>
        <v>0</v>
      </c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>
        <f>ROUND(SUMIF(AA150:AA157,"=36226623",FQ150:FQ157),2)</f>
        <v>0</v>
      </c>
      <c r="BY159" s="2">
        <f>ROUND(SUMIF(AA150:AA157,"=36226623",FR150:FR157),2)</f>
        <v>0</v>
      </c>
      <c r="BZ159" s="2">
        <f>ROUND(SUMIF(AA150:AA157,"=36226623",GL150:GL157),2)</f>
        <v>0</v>
      </c>
      <c r="CA159" s="2">
        <f>ROUND(SUMIF(AA150:AA157,"=36226623",GM150:GM157),2)</f>
        <v>50136.34</v>
      </c>
      <c r="CB159" s="2">
        <f>ROUND(SUMIF(AA150:AA157,"=36226623",GN150:GN157),2)</f>
        <v>0</v>
      </c>
      <c r="CC159" s="2">
        <f>ROUND(SUMIF(AA150:AA157,"=36226623",GO150:GO157),2)</f>
        <v>0</v>
      </c>
      <c r="CD159" s="2">
        <f>ROUND(SUMIF(AA150:AA157,"=36226623",GP150:GP157),2)</f>
        <v>50136.34</v>
      </c>
      <c r="CE159" s="2">
        <f>AC159-BX159</f>
        <v>0</v>
      </c>
      <c r="CF159" s="2">
        <f>AC159-BY159</f>
        <v>0</v>
      </c>
      <c r="CG159" s="2">
        <f>BX159-BZ159</f>
        <v>0</v>
      </c>
      <c r="CH159" s="2">
        <f>AC159-BX159-BY159+BZ159</f>
        <v>0</v>
      </c>
      <c r="CI159" s="2">
        <f>BY159-BZ159</f>
        <v>0</v>
      </c>
      <c r="CJ159" s="2">
        <f>ROUND(SUMIF(AA150:AA157,"=36226623",GX150:GX157),2)</f>
        <v>0</v>
      </c>
      <c r="CK159" s="2">
        <f>ROUND(SUMIF(AA150:AA157,"=36226623",GY150:GY157),2)</f>
        <v>0</v>
      </c>
      <c r="CL159" s="2">
        <f>ROUND(SUMIF(AA150:AA157,"=36226623",GZ150:GZ157),2)</f>
        <v>0</v>
      </c>
      <c r="CM159" s="2">
        <f>ROUND(SUMIF(AA150:AA157,"=36226623",HD150:HD157),2)</f>
        <v>0</v>
      </c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>
        <v>0</v>
      </c>
    </row>
    <row r="161" spans="1:23" x14ac:dyDescent="0.2">
      <c r="A161" s="4">
        <v>50</v>
      </c>
      <c r="B161" s="4">
        <v>0</v>
      </c>
      <c r="C161" s="4">
        <v>0</v>
      </c>
      <c r="D161" s="4">
        <v>1</v>
      </c>
      <c r="E161" s="4">
        <v>201</v>
      </c>
      <c r="F161" s="4">
        <f>ROUND(Source!O159,O161)</f>
        <v>23988.68</v>
      </c>
      <c r="G161" s="4" t="s">
        <v>53</v>
      </c>
      <c r="H161" s="4" t="s">
        <v>54</v>
      </c>
      <c r="I161" s="4"/>
      <c r="J161" s="4"/>
      <c r="K161" s="4">
        <v>201</v>
      </c>
      <c r="L161" s="4">
        <v>1</v>
      </c>
      <c r="M161" s="4">
        <v>3</v>
      </c>
      <c r="N161" s="4" t="s">
        <v>3</v>
      </c>
      <c r="O161" s="4">
        <v>2</v>
      </c>
      <c r="P161" s="4"/>
      <c r="Q161" s="4"/>
      <c r="R161" s="4"/>
      <c r="S161" s="4"/>
      <c r="T161" s="4"/>
      <c r="U161" s="4"/>
      <c r="V161" s="4"/>
      <c r="W161" s="4"/>
    </row>
    <row r="162" spans="1:23" x14ac:dyDescent="0.2">
      <c r="A162" s="4">
        <v>50</v>
      </c>
      <c r="B162" s="4">
        <v>0</v>
      </c>
      <c r="C162" s="4">
        <v>0</v>
      </c>
      <c r="D162" s="4">
        <v>1</v>
      </c>
      <c r="E162" s="4">
        <v>202</v>
      </c>
      <c r="F162" s="4">
        <f>ROUND(Source!P159,O162)</f>
        <v>0</v>
      </c>
      <c r="G162" s="4" t="s">
        <v>55</v>
      </c>
      <c r="H162" s="4" t="s">
        <v>56</v>
      </c>
      <c r="I162" s="4"/>
      <c r="J162" s="4"/>
      <c r="K162" s="4">
        <v>202</v>
      </c>
      <c r="L162" s="4">
        <v>2</v>
      </c>
      <c r="M162" s="4">
        <v>3</v>
      </c>
      <c r="N162" s="4" t="s">
        <v>3</v>
      </c>
      <c r="O162" s="4">
        <v>2</v>
      </c>
      <c r="P162" s="4"/>
      <c r="Q162" s="4"/>
      <c r="R162" s="4"/>
      <c r="S162" s="4"/>
      <c r="T162" s="4"/>
      <c r="U162" s="4"/>
      <c r="V162" s="4"/>
      <c r="W162" s="4"/>
    </row>
    <row r="163" spans="1:23" x14ac:dyDescent="0.2">
      <c r="A163" s="4">
        <v>50</v>
      </c>
      <c r="B163" s="4">
        <v>0</v>
      </c>
      <c r="C163" s="4">
        <v>0</v>
      </c>
      <c r="D163" s="4">
        <v>1</v>
      </c>
      <c r="E163" s="4">
        <v>222</v>
      </c>
      <c r="F163" s="4">
        <f>ROUND(Source!AO159,O163)</f>
        <v>0</v>
      </c>
      <c r="G163" s="4" t="s">
        <v>57</v>
      </c>
      <c r="H163" s="4" t="s">
        <v>58</v>
      </c>
      <c r="I163" s="4"/>
      <c r="J163" s="4"/>
      <c r="K163" s="4">
        <v>222</v>
      </c>
      <c r="L163" s="4">
        <v>3</v>
      </c>
      <c r="M163" s="4">
        <v>3</v>
      </c>
      <c r="N163" s="4" t="s">
        <v>3</v>
      </c>
      <c r="O163" s="4">
        <v>2</v>
      </c>
      <c r="P163" s="4"/>
      <c r="Q163" s="4"/>
      <c r="R163" s="4"/>
      <c r="S163" s="4"/>
      <c r="T163" s="4"/>
      <c r="U163" s="4"/>
      <c r="V163" s="4"/>
      <c r="W163" s="4"/>
    </row>
    <row r="164" spans="1:23" x14ac:dyDescent="0.2">
      <c r="A164" s="4">
        <v>50</v>
      </c>
      <c r="B164" s="4">
        <v>0</v>
      </c>
      <c r="C164" s="4">
        <v>0</v>
      </c>
      <c r="D164" s="4">
        <v>1</v>
      </c>
      <c r="E164" s="4">
        <v>225</v>
      </c>
      <c r="F164" s="4">
        <f>ROUND(Source!AV159,O164)</f>
        <v>0</v>
      </c>
      <c r="G164" s="4" t="s">
        <v>59</v>
      </c>
      <c r="H164" s="4" t="s">
        <v>60</v>
      </c>
      <c r="I164" s="4"/>
      <c r="J164" s="4"/>
      <c r="K164" s="4">
        <v>225</v>
      </c>
      <c r="L164" s="4">
        <v>4</v>
      </c>
      <c r="M164" s="4">
        <v>3</v>
      </c>
      <c r="N164" s="4" t="s">
        <v>3</v>
      </c>
      <c r="O164" s="4">
        <v>2</v>
      </c>
      <c r="P164" s="4"/>
      <c r="Q164" s="4"/>
      <c r="R164" s="4"/>
      <c r="S164" s="4"/>
      <c r="T164" s="4"/>
      <c r="U164" s="4"/>
      <c r="V164" s="4"/>
      <c r="W164" s="4"/>
    </row>
    <row r="165" spans="1:23" x14ac:dyDescent="0.2">
      <c r="A165" s="4">
        <v>50</v>
      </c>
      <c r="B165" s="4">
        <v>0</v>
      </c>
      <c r="C165" s="4">
        <v>0</v>
      </c>
      <c r="D165" s="4">
        <v>1</v>
      </c>
      <c r="E165" s="4">
        <v>226</v>
      </c>
      <c r="F165" s="4">
        <f>ROUND(Source!AW159,O165)</f>
        <v>0</v>
      </c>
      <c r="G165" s="4" t="s">
        <v>61</v>
      </c>
      <c r="H165" s="4" t="s">
        <v>62</v>
      </c>
      <c r="I165" s="4"/>
      <c r="J165" s="4"/>
      <c r="K165" s="4">
        <v>226</v>
      </c>
      <c r="L165" s="4">
        <v>5</v>
      </c>
      <c r="M165" s="4">
        <v>3</v>
      </c>
      <c r="N165" s="4" t="s">
        <v>3</v>
      </c>
      <c r="O165" s="4">
        <v>2</v>
      </c>
      <c r="P165" s="4"/>
      <c r="Q165" s="4"/>
      <c r="R165" s="4"/>
      <c r="S165" s="4"/>
      <c r="T165" s="4"/>
      <c r="U165" s="4"/>
      <c r="V165" s="4"/>
      <c r="W165" s="4"/>
    </row>
    <row r="166" spans="1:23" x14ac:dyDescent="0.2">
      <c r="A166" s="4">
        <v>50</v>
      </c>
      <c r="B166" s="4">
        <v>0</v>
      </c>
      <c r="C166" s="4">
        <v>0</v>
      </c>
      <c r="D166" s="4">
        <v>1</v>
      </c>
      <c r="E166" s="4">
        <v>227</v>
      </c>
      <c r="F166" s="4">
        <f>ROUND(Source!AX159,O166)</f>
        <v>0</v>
      </c>
      <c r="G166" s="4" t="s">
        <v>63</v>
      </c>
      <c r="H166" s="4" t="s">
        <v>64</v>
      </c>
      <c r="I166" s="4"/>
      <c r="J166" s="4"/>
      <c r="K166" s="4">
        <v>227</v>
      </c>
      <c r="L166" s="4">
        <v>6</v>
      </c>
      <c r="M166" s="4">
        <v>3</v>
      </c>
      <c r="N166" s="4" t="s">
        <v>3</v>
      </c>
      <c r="O166" s="4">
        <v>2</v>
      </c>
      <c r="P166" s="4"/>
      <c r="Q166" s="4"/>
      <c r="R166" s="4"/>
      <c r="S166" s="4"/>
      <c r="T166" s="4"/>
      <c r="U166" s="4"/>
      <c r="V166" s="4"/>
      <c r="W166" s="4"/>
    </row>
    <row r="167" spans="1:23" x14ac:dyDescent="0.2">
      <c r="A167" s="4">
        <v>50</v>
      </c>
      <c r="B167" s="4">
        <v>0</v>
      </c>
      <c r="C167" s="4">
        <v>0</v>
      </c>
      <c r="D167" s="4">
        <v>1</v>
      </c>
      <c r="E167" s="4">
        <v>228</v>
      </c>
      <c r="F167" s="4">
        <f>ROUND(Source!AY159,O167)</f>
        <v>0</v>
      </c>
      <c r="G167" s="4" t="s">
        <v>65</v>
      </c>
      <c r="H167" s="4" t="s">
        <v>66</v>
      </c>
      <c r="I167" s="4"/>
      <c r="J167" s="4"/>
      <c r="K167" s="4">
        <v>228</v>
      </c>
      <c r="L167" s="4">
        <v>7</v>
      </c>
      <c r="M167" s="4">
        <v>3</v>
      </c>
      <c r="N167" s="4" t="s">
        <v>3</v>
      </c>
      <c r="O167" s="4">
        <v>2</v>
      </c>
      <c r="P167" s="4"/>
      <c r="Q167" s="4"/>
      <c r="R167" s="4"/>
      <c r="S167" s="4"/>
      <c r="T167" s="4"/>
      <c r="U167" s="4"/>
      <c r="V167" s="4"/>
      <c r="W167" s="4"/>
    </row>
    <row r="168" spans="1:23" x14ac:dyDescent="0.2">
      <c r="A168" s="4">
        <v>50</v>
      </c>
      <c r="B168" s="4">
        <v>0</v>
      </c>
      <c r="C168" s="4">
        <v>0</v>
      </c>
      <c r="D168" s="4">
        <v>1</v>
      </c>
      <c r="E168" s="4">
        <v>216</v>
      </c>
      <c r="F168" s="4">
        <f>ROUND(Source!AP159,O168)</f>
        <v>0</v>
      </c>
      <c r="G168" s="4" t="s">
        <v>67</v>
      </c>
      <c r="H168" s="4" t="s">
        <v>68</v>
      </c>
      <c r="I168" s="4"/>
      <c r="J168" s="4"/>
      <c r="K168" s="4">
        <v>216</v>
      </c>
      <c r="L168" s="4">
        <v>8</v>
      </c>
      <c r="M168" s="4">
        <v>3</v>
      </c>
      <c r="N168" s="4" t="s">
        <v>3</v>
      </c>
      <c r="O168" s="4">
        <v>2</v>
      </c>
      <c r="P168" s="4"/>
      <c r="Q168" s="4"/>
      <c r="R168" s="4"/>
      <c r="S168" s="4"/>
      <c r="T168" s="4"/>
      <c r="U168" s="4"/>
      <c r="V168" s="4"/>
      <c r="W168" s="4"/>
    </row>
    <row r="169" spans="1:23" x14ac:dyDescent="0.2">
      <c r="A169" s="4">
        <v>50</v>
      </c>
      <c r="B169" s="4">
        <v>0</v>
      </c>
      <c r="C169" s="4">
        <v>0</v>
      </c>
      <c r="D169" s="4">
        <v>1</v>
      </c>
      <c r="E169" s="4">
        <v>223</v>
      </c>
      <c r="F169" s="4">
        <f>ROUND(Source!AQ159,O169)</f>
        <v>0</v>
      </c>
      <c r="G169" s="4" t="s">
        <v>69</v>
      </c>
      <c r="H169" s="4" t="s">
        <v>70</v>
      </c>
      <c r="I169" s="4"/>
      <c r="J169" s="4"/>
      <c r="K169" s="4">
        <v>223</v>
      </c>
      <c r="L169" s="4">
        <v>9</v>
      </c>
      <c r="M169" s="4">
        <v>3</v>
      </c>
      <c r="N169" s="4" t="s">
        <v>3</v>
      </c>
      <c r="O169" s="4">
        <v>2</v>
      </c>
      <c r="P169" s="4"/>
      <c r="Q169" s="4"/>
      <c r="R169" s="4"/>
      <c r="S169" s="4"/>
      <c r="T169" s="4"/>
      <c r="U169" s="4"/>
      <c r="V169" s="4"/>
      <c r="W169" s="4"/>
    </row>
    <row r="170" spans="1:23" x14ac:dyDescent="0.2">
      <c r="A170" s="4">
        <v>50</v>
      </c>
      <c r="B170" s="4">
        <v>0</v>
      </c>
      <c r="C170" s="4">
        <v>0</v>
      </c>
      <c r="D170" s="4">
        <v>1</v>
      </c>
      <c r="E170" s="4">
        <v>229</v>
      </c>
      <c r="F170" s="4">
        <f>ROUND(Source!AZ159,O170)</f>
        <v>0</v>
      </c>
      <c r="G170" s="4" t="s">
        <v>71</v>
      </c>
      <c r="H170" s="4" t="s">
        <v>72</v>
      </c>
      <c r="I170" s="4"/>
      <c r="J170" s="4"/>
      <c r="K170" s="4">
        <v>229</v>
      </c>
      <c r="L170" s="4">
        <v>10</v>
      </c>
      <c r="M170" s="4">
        <v>3</v>
      </c>
      <c r="N170" s="4" t="s">
        <v>3</v>
      </c>
      <c r="O170" s="4">
        <v>2</v>
      </c>
      <c r="P170" s="4"/>
      <c r="Q170" s="4"/>
      <c r="R170" s="4"/>
      <c r="S170" s="4"/>
      <c r="T170" s="4"/>
      <c r="U170" s="4"/>
      <c r="V170" s="4"/>
      <c r="W170" s="4"/>
    </row>
    <row r="171" spans="1:23" x14ac:dyDescent="0.2">
      <c r="A171" s="4">
        <v>50</v>
      </c>
      <c r="B171" s="4">
        <v>0</v>
      </c>
      <c r="C171" s="4">
        <v>0</v>
      </c>
      <c r="D171" s="4">
        <v>1</v>
      </c>
      <c r="E171" s="4">
        <v>203</v>
      </c>
      <c r="F171" s="4">
        <f>ROUND(Source!Q159,O171)</f>
        <v>0</v>
      </c>
      <c r="G171" s="4" t="s">
        <v>73</v>
      </c>
      <c r="H171" s="4" t="s">
        <v>74</v>
      </c>
      <c r="I171" s="4"/>
      <c r="J171" s="4"/>
      <c r="K171" s="4">
        <v>203</v>
      </c>
      <c r="L171" s="4">
        <v>11</v>
      </c>
      <c r="M171" s="4">
        <v>3</v>
      </c>
      <c r="N171" s="4" t="s">
        <v>3</v>
      </c>
      <c r="O171" s="4">
        <v>2</v>
      </c>
      <c r="P171" s="4"/>
      <c r="Q171" s="4"/>
      <c r="R171" s="4"/>
      <c r="S171" s="4"/>
      <c r="T171" s="4"/>
      <c r="U171" s="4"/>
      <c r="V171" s="4"/>
      <c r="W171" s="4"/>
    </row>
    <row r="172" spans="1:23" x14ac:dyDescent="0.2">
      <c r="A172" s="4">
        <v>50</v>
      </c>
      <c r="B172" s="4">
        <v>0</v>
      </c>
      <c r="C172" s="4">
        <v>0</v>
      </c>
      <c r="D172" s="4">
        <v>1</v>
      </c>
      <c r="E172" s="4">
        <v>231</v>
      </c>
      <c r="F172" s="4">
        <f>ROUND(Source!BB159,O172)</f>
        <v>0</v>
      </c>
      <c r="G172" s="4" t="s">
        <v>75</v>
      </c>
      <c r="H172" s="4" t="s">
        <v>76</v>
      </c>
      <c r="I172" s="4"/>
      <c r="J172" s="4"/>
      <c r="K172" s="4">
        <v>231</v>
      </c>
      <c r="L172" s="4">
        <v>12</v>
      </c>
      <c r="M172" s="4">
        <v>3</v>
      </c>
      <c r="N172" s="4" t="s">
        <v>3</v>
      </c>
      <c r="O172" s="4">
        <v>2</v>
      </c>
      <c r="P172" s="4"/>
      <c r="Q172" s="4"/>
      <c r="R172" s="4"/>
      <c r="S172" s="4"/>
      <c r="T172" s="4"/>
      <c r="U172" s="4"/>
      <c r="V172" s="4"/>
      <c r="W172" s="4"/>
    </row>
    <row r="173" spans="1:23" x14ac:dyDescent="0.2">
      <c r="A173" s="4">
        <v>50</v>
      </c>
      <c r="B173" s="4">
        <v>0</v>
      </c>
      <c r="C173" s="4">
        <v>0</v>
      </c>
      <c r="D173" s="4">
        <v>1</v>
      </c>
      <c r="E173" s="4">
        <v>204</v>
      </c>
      <c r="F173" s="4">
        <f>ROUND(Source!R159,O173)</f>
        <v>0</v>
      </c>
      <c r="G173" s="4" t="s">
        <v>77</v>
      </c>
      <c r="H173" s="4" t="s">
        <v>78</v>
      </c>
      <c r="I173" s="4"/>
      <c r="J173" s="4"/>
      <c r="K173" s="4">
        <v>204</v>
      </c>
      <c r="L173" s="4">
        <v>13</v>
      </c>
      <c r="M173" s="4">
        <v>3</v>
      </c>
      <c r="N173" s="4" t="s">
        <v>3</v>
      </c>
      <c r="O173" s="4">
        <v>2</v>
      </c>
      <c r="P173" s="4"/>
      <c r="Q173" s="4"/>
      <c r="R173" s="4"/>
      <c r="S173" s="4"/>
      <c r="T173" s="4"/>
      <c r="U173" s="4"/>
      <c r="V173" s="4"/>
      <c r="W173" s="4"/>
    </row>
    <row r="174" spans="1:23" x14ac:dyDescent="0.2">
      <c r="A174" s="4">
        <v>50</v>
      </c>
      <c r="B174" s="4">
        <v>0</v>
      </c>
      <c r="C174" s="4">
        <v>0</v>
      </c>
      <c r="D174" s="4">
        <v>1</v>
      </c>
      <c r="E174" s="4">
        <v>205</v>
      </c>
      <c r="F174" s="4">
        <f>ROUND(Source!S159,O174)</f>
        <v>23988.68</v>
      </c>
      <c r="G174" s="4" t="s">
        <v>79</v>
      </c>
      <c r="H174" s="4" t="s">
        <v>80</v>
      </c>
      <c r="I174" s="4"/>
      <c r="J174" s="4"/>
      <c r="K174" s="4">
        <v>205</v>
      </c>
      <c r="L174" s="4">
        <v>14</v>
      </c>
      <c r="M174" s="4">
        <v>3</v>
      </c>
      <c r="N174" s="4" t="s">
        <v>3</v>
      </c>
      <c r="O174" s="4">
        <v>2</v>
      </c>
      <c r="P174" s="4"/>
      <c r="Q174" s="4"/>
      <c r="R174" s="4"/>
      <c r="S174" s="4"/>
      <c r="T174" s="4"/>
      <c r="U174" s="4"/>
      <c r="V174" s="4"/>
      <c r="W174" s="4"/>
    </row>
    <row r="175" spans="1:23" x14ac:dyDescent="0.2">
      <c r="A175" s="4">
        <v>50</v>
      </c>
      <c r="B175" s="4">
        <v>0</v>
      </c>
      <c r="C175" s="4">
        <v>0</v>
      </c>
      <c r="D175" s="4">
        <v>1</v>
      </c>
      <c r="E175" s="4">
        <v>232</v>
      </c>
      <c r="F175" s="4">
        <f>ROUND(Source!BC159,O175)</f>
        <v>0</v>
      </c>
      <c r="G175" s="4" t="s">
        <v>81</v>
      </c>
      <c r="H175" s="4" t="s">
        <v>82</v>
      </c>
      <c r="I175" s="4"/>
      <c r="J175" s="4"/>
      <c r="K175" s="4">
        <v>232</v>
      </c>
      <c r="L175" s="4">
        <v>15</v>
      </c>
      <c r="M175" s="4">
        <v>3</v>
      </c>
      <c r="N175" s="4" t="s">
        <v>3</v>
      </c>
      <c r="O175" s="4">
        <v>2</v>
      </c>
      <c r="P175" s="4"/>
      <c r="Q175" s="4"/>
      <c r="R175" s="4"/>
      <c r="S175" s="4"/>
      <c r="T175" s="4"/>
      <c r="U175" s="4"/>
      <c r="V175" s="4"/>
      <c r="W175" s="4"/>
    </row>
    <row r="176" spans="1:23" x14ac:dyDescent="0.2">
      <c r="A176" s="4">
        <v>50</v>
      </c>
      <c r="B176" s="4">
        <v>0</v>
      </c>
      <c r="C176" s="4">
        <v>0</v>
      </c>
      <c r="D176" s="4">
        <v>1</v>
      </c>
      <c r="E176" s="4">
        <v>214</v>
      </c>
      <c r="F176" s="4">
        <f>ROUND(Source!AS159,O176)</f>
        <v>0</v>
      </c>
      <c r="G176" s="4" t="s">
        <v>83</v>
      </c>
      <c r="H176" s="4" t="s">
        <v>84</v>
      </c>
      <c r="I176" s="4"/>
      <c r="J176" s="4"/>
      <c r="K176" s="4">
        <v>214</v>
      </c>
      <c r="L176" s="4">
        <v>16</v>
      </c>
      <c r="M176" s="4">
        <v>3</v>
      </c>
      <c r="N176" s="4" t="s">
        <v>3</v>
      </c>
      <c r="O176" s="4">
        <v>2</v>
      </c>
      <c r="P176" s="4"/>
      <c r="Q176" s="4"/>
      <c r="R176" s="4"/>
      <c r="S176" s="4"/>
      <c r="T176" s="4"/>
      <c r="U176" s="4"/>
      <c r="V176" s="4"/>
      <c r="W176" s="4"/>
    </row>
    <row r="177" spans="1:206" x14ac:dyDescent="0.2">
      <c r="A177" s="4">
        <v>50</v>
      </c>
      <c r="B177" s="4">
        <v>0</v>
      </c>
      <c r="C177" s="4">
        <v>0</v>
      </c>
      <c r="D177" s="4">
        <v>1</v>
      </c>
      <c r="E177" s="4">
        <v>215</v>
      </c>
      <c r="F177" s="4">
        <f>ROUND(Source!AT159,O177)</f>
        <v>0</v>
      </c>
      <c r="G177" s="4" t="s">
        <v>85</v>
      </c>
      <c r="H177" s="4" t="s">
        <v>86</v>
      </c>
      <c r="I177" s="4"/>
      <c r="J177" s="4"/>
      <c r="K177" s="4">
        <v>215</v>
      </c>
      <c r="L177" s="4">
        <v>17</v>
      </c>
      <c r="M177" s="4">
        <v>3</v>
      </c>
      <c r="N177" s="4" t="s">
        <v>3</v>
      </c>
      <c r="O177" s="4">
        <v>2</v>
      </c>
      <c r="P177" s="4"/>
      <c r="Q177" s="4"/>
      <c r="R177" s="4"/>
      <c r="S177" s="4"/>
      <c r="T177" s="4"/>
      <c r="U177" s="4"/>
      <c r="V177" s="4"/>
      <c r="W177" s="4"/>
    </row>
    <row r="178" spans="1:206" x14ac:dyDescent="0.2">
      <c r="A178" s="4">
        <v>50</v>
      </c>
      <c r="B178" s="4">
        <v>0</v>
      </c>
      <c r="C178" s="4">
        <v>0</v>
      </c>
      <c r="D178" s="4">
        <v>1</v>
      </c>
      <c r="E178" s="4">
        <v>217</v>
      </c>
      <c r="F178" s="4">
        <f>ROUND(Source!AU159,O178)</f>
        <v>50136.34</v>
      </c>
      <c r="G178" s="4" t="s">
        <v>87</v>
      </c>
      <c r="H178" s="4" t="s">
        <v>88</v>
      </c>
      <c r="I178" s="4"/>
      <c r="J178" s="4"/>
      <c r="K178" s="4">
        <v>217</v>
      </c>
      <c r="L178" s="4">
        <v>18</v>
      </c>
      <c r="M178" s="4">
        <v>3</v>
      </c>
      <c r="N178" s="4" t="s">
        <v>3</v>
      </c>
      <c r="O178" s="4">
        <v>2</v>
      </c>
      <c r="P178" s="4"/>
      <c r="Q178" s="4"/>
      <c r="R178" s="4"/>
      <c r="S178" s="4"/>
      <c r="T178" s="4"/>
      <c r="U178" s="4"/>
      <c r="V178" s="4"/>
      <c r="W178" s="4"/>
    </row>
    <row r="179" spans="1:206" x14ac:dyDescent="0.2">
      <c r="A179" s="4">
        <v>50</v>
      </c>
      <c r="B179" s="4">
        <v>0</v>
      </c>
      <c r="C179" s="4">
        <v>0</v>
      </c>
      <c r="D179" s="4">
        <v>1</v>
      </c>
      <c r="E179" s="4">
        <v>230</v>
      </c>
      <c r="F179" s="4">
        <f>ROUND(Source!BA159,O179)</f>
        <v>0</v>
      </c>
      <c r="G179" s="4" t="s">
        <v>89</v>
      </c>
      <c r="H179" s="4" t="s">
        <v>90</v>
      </c>
      <c r="I179" s="4"/>
      <c r="J179" s="4"/>
      <c r="K179" s="4">
        <v>230</v>
      </c>
      <c r="L179" s="4">
        <v>19</v>
      </c>
      <c r="M179" s="4">
        <v>3</v>
      </c>
      <c r="N179" s="4" t="s">
        <v>3</v>
      </c>
      <c r="O179" s="4">
        <v>2</v>
      </c>
      <c r="P179" s="4"/>
      <c r="Q179" s="4"/>
      <c r="R179" s="4"/>
      <c r="S179" s="4"/>
      <c r="T179" s="4"/>
      <c r="U179" s="4"/>
      <c r="V179" s="4"/>
      <c r="W179" s="4"/>
    </row>
    <row r="180" spans="1:206" x14ac:dyDescent="0.2">
      <c r="A180" s="4">
        <v>50</v>
      </c>
      <c r="B180" s="4">
        <v>0</v>
      </c>
      <c r="C180" s="4">
        <v>0</v>
      </c>
      <c r="D180" s="4">
        <v>1</v>
      </c>
      <c r="E180" s="4">
        <v>206</v>
      </c>
      <c r="F180" s="4">
        <f>ROUND(Source!T159,O180)</f>
        <v>0</v>
      </c>
      <c r="G180" s="4" t="s">
        <v>91</v>
      </c>
      <c r="H180" s="4" t="s">
        <v>92</v>
      </c>
      <c r="I180" s="4"/>
      <c r="J180" s="4"/>
      <c r="K180" s="4">
        <v>206</v>
      </c>
      <c r="L180" s="4">
        <v>20</v>
      </c>
      <c r="M180" s="4">
        <v>3</v>
      </c>
      <c r="N180" s="4" t="s">
        <v>3</v>
      </c>
      <c r="O180" s="4">
        <v>2</v>
      </c>
      <c r="P180" s="4"/>
      <c r="Q180" s="4"/>
      <c r="R180" s="4"/>
      <c r="S180" s="4"/>
      <c r="T180" s="4"/>
      <c r="U180" s="4"/>
      <c r="V180" s="4"/>
      <c r="W180" s="4"/>
    </row>
    <row r="181" spans="1:206" x14ac:dyDescent="0.2">
      <c r="A181" s="4">
        <v>50</v>
      </c>
      <c r="B181" s="4">
        <v>0</v>
      </c>
      <c r="C181" s="4">
        <v>0</v>
      </c>
      <c r="D181" s="4">
        <v>1</v>
      </c>
      <c r="E181" s="4">
        <v>207</v>
      </c>
      <c r="F181" s="4">
        <f>Source!U159</f>
        <v>65.767999999999986</v>
      </c>
      <c r="G181" s="4" t="s">
        <v>93</v>
      </c>
      <c r="H181" s="4" t="s">
        <v>94</v>
      </c>
      <c r="I181" s="4"/>
      <c r="J181" s="4"/>
      <c r="K181" s="4">
        <v>207</v>
      </c>
      <c r="L181" s="4">
        <v>21</v>
      </c>
      <c r="M181" s="4">
        <v>3</v>
      </c>
      <c r="N181" s="4" t="s">
        <v>3</v>
      </c>
      <c r="O181" s="4">
        <v>-1</v>
      </c>
      <c r="P181" s="4"/>
      <c r="Q181" s="4"/>
      <c r="R181" s="4"/>
      <c r="S181" s="4"/>
      <c r="T181" s="4"/>
      <c r="U181" s="4"/>
      <c r="V181" s="4"/>
      <c r="W181" s="4"/>
    </row>
    <row r="182" spans="1:206" x14ac:dyDescent="0.2">
      <c r="A182" s="4">
        <v>50</v>
      </c>
      <c r="B182" s="4">
        <v>0</v>
      </c>
      <c r="C182" s="4">
        <v>0</v>
      </c>
      <c r="D182" s="4">
        <v>1</v>
      </c>
      <c r="E182" s="4">
        <v>208</v>
      </c>
      <c r="F182" s="4">
        <f>Source!V159</f>
        <v>0</v>
      </c>
      <c r="G182" s="4" t="s">
        <v>95</v>
      </c>
      <c r="H182" s="4" t="s">
        <v>96</v>
      </c>
      <c r="I182" s="4"/>
      <c r="J182" s="4"/>
      <c r="K182" s="4">
        <v>208</v>
      </c>
      <c r="L182" s="4">
        <v>22</v>
      </c>
      <c r="M182" s="4">
        <v>3</v>
      </c>
      <c r="N182" s="4" t="s">
        <v>3</v>
      </c>
      <c r="O182" s="4">
        <v>-1</v>
      </c>
      <c r="P182" s="4"/>
      <c r="Q182" s="4"/>
      <c r="R182" s="4"/>
      <c r="S182" s="4"/>
      <c r="T182" s="4"/>
      <c r="U182" s="4"/>
      <c r="V182" s="4"/>
      <c r="W182" s="4"/>
    </row>
    <row r="183" spans="1:206" x14ac:dyDescent="0.2">
      <c r="A183" s="4">
        <v>50</v>
      </c>
      <c r="B183" s="4">
        <v>0</v>
      </c>
      <c r="C183" s="4">
        <v>0</v>
      </c>
      <c r="D183" s="4">
        <v>1</v>
      </c>
      <c r="E183" s="4">
        <v>209</v>
      </c>
      <c r="F183" s="4">
        <f>ROUND(Source!W159,O183)</f>
        <v>0</v>
      </c>
      <c r="G183" s="4" t="s">
        <v>97</v>
      </c>
      <c r="H183" s="4" t="s">
        <v>98</v>
      </c>
      <c r="I183" s="4"/>
      <c r="J183" s="4"/>
      <c r="K183" s="4">
        <v>209</v>
      </c>
      <c r="L183" s="4">
        <v>23</v>
      </c>
      <c r="M183" s="4">
        <v>3</v>
      </c>
      <c r="N183" s="4" t="s">
        <v>3</v>
      </c>
      <c r="O183" s="4">
        <v>2</v>
      </c>
      <c r="P183" s="4"/>
      <c r="Q183" s="4"/>
      <c r="R183" s="4"/>
      <c r="S183" s="4"/>
      <c r="T183" s="4"/>
      <c r="U183" s="4"/>
      <c r="V183" s="4"/>
      <c r="W183" s="4"/>
    </row>
    <row r="184" spans="1:206" x14ac:dyDescent="0.2">
      <c r="A184" s="4">
        <v>50</v>
      </c>
      <c r="B184" s="4">
        <v>0</v>
      </c>
      <c r="C184" s="4">
        <v>0</v>
      </c>
      <c r="D184" s="4">
        <v>1</v>
      </c>
      <c r="E184" s="4">
        <v>233</v>
      </c>
      <c r="F184" s="4">
        <f>ROUND(Source!BD159,O184)</f>
        <v>0</v>
      </c>
      <c r="G184" s="4" t="s">
        <v>99</v>
      </c>
      <c r="H184" s="4" t="s">
        <v>100</v>
      </c>
      <c r="I184" s="4"/>
      <c r="J184" s="4"/>
      <c r="K184" s="4">
        <v>233</v>
      </c>
      <c r="L184" s="4">
        <v>24</v>
      </c>
      <c r="M184" s="4">
        <v>3</v>
      </c>
      <c r="N184" s="4" t="s">
        <v>3</v>
      </c>
      <c r="O184" s="4">
        <v>2</v>
      </c>
      <c r="P184" s="4"/>
      <c r="Q184" s="4"/>
      <c r="R184" s="4"/>
      <c r="S184" s="4"/>
      <c r="T184" s="4"/>
      <c r="U184" s="4"/>
      <c r="V184" s="4"/>
      <c r="W184" s="4"/>
    </row>
    <row r="185" spans="1:206" x14ac:dyDescent="0.2">
      <c r="A185" s="4">
        <v>50</v>
      </c>
      <c r="B185" s="4">
        <v>0</v>
      </c>
      <c r="C185" s="4">
        <v>0</v>
      </c>
      <c r="D185" s="4">
        <v>1</v>
      </c>
      <c r="E185" s="4">
        <v>210</v>
      </c>
      <c r="F185" s="4">
        <f>ROUND(Source!X159,O185)</f>
        <v>16312.3</v>
      </c>
      <c r="G185" s="4" t="s">
        <v>101</v>
      </c>
      <c r="H185" s="4" t="s">
        <v>102</v>
      </c>
      <c r="I185" s="4"/>
      <c r="J185" s="4"/>
      <c r="K185" s="4">
        <v>210</v>
      </c>
      <c r="L185" s="4">
        <v>25</v>
      </c>
      <c r="M185" s="4">
        <v>3</v>
      </c>
      <c r="N185" s="4" t="s">
        <v>3</v>
      </c>
      <c r="O185" s="4">
        <v>2</v>
      </c>
      <c r="P185" s="4"/>
      <c r="Q185" s="4"/>
      <c r="R185" s="4"/>
      <c r="S185" s="4"/>
      <c r="T185" s="4"/>
      <c r="U185" s="4"/>
      <c r="V185" s="4"/>
      <c r="W185" s="4"/>
    </row>
    <row r="186" spans="1:206" x14ac:dyDescent="0.2">
      <c r="A186" s="4">
        <v>50</v>
      </c>
      <c r="B186" s="4">
        <v>0</v>
      </c>
      <c r="C186" s="4">
        <v>0</v>
      </c>
      <c r="D186" s="4">
        <v>1</v>
      </c>
      <c r="E186" s="4">
        <v>211</v>
      </c>
      <c r="F186" s="4">
        <f>ROUND(Source!Y159,O186)</f>
        <v>9835.36</v>
      </c>
      <c r="G186" s="4" t="s">
        <v>103</v>
      </c>
      <c r="H186" s="4" t="s">
        <v>104</v>
      </c>
      <c r="I186" s="4"/>
      <c r="J186" s="4"/>
      <c r="K186" s="4">
        <v>211</v>
      </c>
      <c r="L186" s="4">
        <v>26</v>
      </c>
      <c r="M186" s="4">
        <v>3</v>
      </c>
      <c r="N186" s="4" t="s">
        <v>3</v>
      </c>
      <c r="O186" s="4">
        <v>2</v>
      </c>
      <c r="P186" s="4"/>
      <c r="Q186" s="4"/>
      <c r="R186" s="4"/>
      <c r="S186" s="4"/>
      <c r="T186" s="4"/>
      <c r="U186" s="4"/>
      <c r="V186" s="4"/>
      <c r="W186" s="4"/>
    </row>
    <row r="187" spans="1:206" x14ac:dyDescent="0.2">
      <c r="A187" s="4">
        <v>50</v>
      </c>
      <c r="B187" s="4">
        <v>0</v>
      </c>
      <c r="C187" s="4">
        <v>0</v>
      </c>
      <c r="D187" s="4">
        <v>1</v>
      </c>
      <c r="E187" s="4">
        <v>224</v>
      </c>
      <c r="F187" s="4">
        <f>ROUND(Source!AR159,O187)</f>
        <v>50136.34</v>
      </c>
      <c r="G187" s="4" t="s">
        <v>105</v>
      </c>
      <c r="H187" s="4" t="s">
        <v>106</v>
      </c>
      <c r="I187" s="4"/>
      <c r="J187" s="4"/>
      <c r="K187" s="4">
        <v>224</v>
      </c>
      <c r="L187" s="4">
        <v>27</v>
      </c>
      <c r="M187" s="4">
        <v>3</v>
      </c>
      <c r="N187" s="4" t="s">
        <v>3</v>
      </c>
      <c r="O187" s="4">
        <v>2</v>
      </c>
      <c r="P187" s="4"/>
      <c r="Q187" s="4"/>
      <c r="R187" s="4"/>
      <c r="S187" s="4"/>
      <c r="T187" s="4"/>
      <c r="U187" s="4"/>
      <c r="V187" s="4"/>
      <c r="W187" s="4"/>
    </row>
    <row r="189" spans="1:206" x14ac:dyDescent="0.2">
      <c r="A189" s="2">
        <v>51</v>
      </c>
      <c r="B189" s="2">
        <f>B20</f>
        <v>1</v>
      </c>
      <c r="C189" s="2">
        <f>A20</f>
        <v>3</v>
      </c>
      <c r="D189" s="2">
        <f>ROW(A20)</f>
        <v>20</v>
      </c>
      <c r="E189" s="2"/>
      <c r="F189" s="2" t="str">
        <f>IF(F20&lt;&gt;"",F20,"")</f>
        <v>1</v>
      </c>
      <c r="G189" s="2" t="str">
        <f>IF(G20&lt;&gt;"",G20,"")</f>
        <v>Замена силового трансформатора ТМГ 1000\10\0,4 кВ</v>
      </c>
      <c r="H189" s="2">
        <v>0</v>
      </c>
      <c r="I189" s="2"/>
      <c r="J189" s="2"/>
      <c r="K189" s="2"/>
      <c r="L189" s="2"/>
      <c r="M189" s="2"/>
      <c r="N189" s="2"/>
      <c r="O189" s="2">
        <f t="shared" ref="O189:T189" si="157">ROUND(O36+O74+O116+O159+AB189,2)</f>
        <v>632187.03</v>
      </c>
      <c r="P189" s="2">
        <f t="shared" si="157"/>
        <v>557948.27</v>
      </c>
      <c r="Q189" s="2">
        <f t="shared" si="157"/>
        <v>17438.98</v>
      </c>
      <c r="R189" s="2">
        <f t="shared" si="157"/>
        <v>8968.86</v>
      </c>
      <c r="S189" s="2">
        <f t="shared" si="157"/>
        <v>56799.78</v>
      </c>
      <c r="T189" s="2">
        <f t="shared" si="157"/>
        <v>0</v>
      </c>
      <c r="U189" s="2">
        <f>U36+U74+U116+U159+AH189</f>
        <v>175.6428282</v>
      </c>
      <c r="V189" s="2">
        <f>V36+V74+V116+V159+AI189</f>
        <v>0</v>
      </c>
      <c r="W189" s="2">
        <f>ROUND(W36+W74+W116+W159+AJ189,2)</f>
        <v>0</v>
      </c>
      <c r="X189" s="2">
        <f>ROUND(X36+X74+X116+X159+AK189,2)</f>
        <v>45801.89</v>
      </c>
      <c r="Y189" s="2">
        <f>ROUND(Y36+Y74+Y116+Y159+AL189,2)</f>
        <v>23927.96</v>
      </c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>
        <f t="shared" ref="AO189:BD189" si="158">ROUND(AO36+AO74+AO116+AO159+BX189,2)</f>
        <v>0</v>
      </c>
      <c r="AP189" s="2">
        <f t="shared" si="158"/>
        <v>355271.01</v>
      </c>
      <c r="AQ189" s="2">
        <f t="shared" si="158"/>
        <v>0</v>
      </c>
      <c r="AR189" s="2">
        <f t="shared" si="158"/>
        <v>715997.98</v>
      </c>
      <c r="AS189" s="2">
        <f t="shared" si="158"/>
        <v>195733.57</v>
      </c>
      <c r="AT189" s="2">
        <f t="shared" si="158"/>
        <v>113488.18</v>
      </c>
      <c r="AU189" s="2">
        <f t="shared" si="158"/>
        <v>51505.22</v>
      </c>
      <c r="AV189" s="2">
        <f t="shared" si="158"/>
        <v>557948.27</v>
      </c>
      <c r="AW189" s="2">
        <f t="shared" si="158"/>
        <v>202677.26</v>
      </c>
      <c r="AX189" s="2">
        <f t="shared" si="158"/>
        <v>0</v>
      </c>
      <c r="AY189" s="2">
        <f t="shared" si="158"/>
        <v>202677.26</v>
      </c>
      <c r="AZ189" s="2">
        <f t="shared" si="158"/>
        <v>355271.01</v>
      </c>
      <c r="BA189" s="2">
        <f t="shared" si="158"/>
        <v>0</v>
      </c>
      <c r="BB189" s="2">
        <f t="shared" si="158"/>
        <v>0</v>
      </c>
      <c r="BC189" s="2">
        <f t="shared" si="158"/>
        <v>0</v>
      </c>
      <c r="BD189" s="2">
        <f t="shared" si="158"/>
        <v>0</v>
      </c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>
        <v>0</v>
      </c>
    </row>
    <row r="191" spans="1:206" x14ac:dyDescent="0.2">
      <c r="A191" s="4">
        <v>50</v>
      </c>
      <c r="B191" s="4">
        <v>0</v>
      </c>
      <c r="C191" s="4">
        <v>0</v>
      </c>
      <c r="D191" s="4">
        <v>1</v>
      </c>
      <c r="E191" s="4">
        <v>201</v>
      </c>
      <c r="F191" s="4">
        <f>ROUND(Source!O189,O191)</f>
        <v>632187.03</v>
      </c>
      <c r="G191" s="4" t="s">
        <v>53</v>
      </c>
      <c r="H191" s="4" t="s">
        <v>54</v>
      </c>
      <c r="I191" s="4"/>
      <c r="J191" s="4"/>
      <c r="K191" s="4">
        <v>201</v>
      </c>
      <c r="L191" s="4">
        <v>1</v>
      </c>
      <c r="M191" s="4">
        <v>3</v>
      </c>
      <c r="N191" s="4" t="s">
        <v>3</v>
      </c>
      <c r="O191" s="4">
        <v>2</v>
      </c>
      <c r="P191" s="4"/>
      <c r="Q191" s="4"/>
      <c r="R191" s="4"/>
      <c r="S191" s="4"/>
      <c r="T191" s="4"/>
      <c r="U191" s="4"/>
      <c r="V191" s="4"/>
      <c r="W191" s="4"/>
    </row>
    <row r="192" spans="1:206" x14ac:dyDescent="0.2">
      <c r="A192" s="4">
        <v>50</v>
      </c>
      <c r="B192" s="4">
        <v>0</v>
      </c>
      <c r="C192" s="4">
        <v>0</v>
      </c>
      <c r="D192" s="4">
        <v>1</v>
      </c>
      <c r="E192" s="4">
        <v>202</v>
      </c>
      <c r="F192" s="4">
        <f>ROUND(Source!P189,O192)</f>
        <v>557948.27</v>
      </c>
      <c r="G192" s="4" t="s">
        <v>55</v>
      </c>
      <c r="H192" s="4" t="s">
        <v>56</v>
      </c>
      <c r="I192" s="4"/>
      <c r="J192" s="4"/>
      <c r="K192" s="4">
        <v>202</v>
      </c>
      <c r="L192" s="4">
        <v>2</v>
      </c>
      <c r="M192" s="4">
        <v>3</v>
      </c>
      <c r="N192" s="4" t="s">
        <v>3</v>
      </c>
      <c r="O192" s="4">
        <v>2</v>
      </c>
      <c r="P192" s="4"/>
      <c r="Q192" s="4"/>
      <c r="R192" s="4"/>
      <c r="S192" s="4"/>
      <c r="T192" s="4"/>
      <c r="U192" s="4"/>
      <c r="V192" s="4"/>
      <c r="W192" s="4"/>
    </row>
    <row r="193" spans="1:23" x14ac:dyDescent="0.2">
      <c r="A193" s="4">
        <v>50</v>
      </c>
      <c r="B193" s="4">
        <v>0</v>
      </c>
      <c r="C193" s="4">
        <v>0</v>
      </c>
      <c r="D193" s="4">
        <v>1</v>
      </c>
      <c r="E193" s="4">
        <v>31509382</v>
      </c>
      <c r="F193" s="4">
        <f>ROUND(Source!AO189,O193)</f>
        <v>0</v>
      </c>
      <c r="G193" s="4" t="s">
        <v>57</v>
      </c>
      <c r="H193" s="4" t="s">
        <v>58</v>
      </c>
      <c r="I193" s="4"/>
      <c r="J193" s="4"/>
      <c r="K193" s="4">
        <v>222</v>
      </c>
      <c r="L193" s="4">
        <v>3</v>
      </c>
      <c r="M193" s="4">
        <v>3</v>
      </c>
      <c r="N193" s="4" t="s">
        <v>3</v>
      </c>
      <c r="O193" s="4">
        <v>2</v>
      </c>
      <c r="P193" s="4"/>
      <c r="Q193" s="4"/>
      <c r="R193" s="4"/>
      <c r="S193" s="4"/>
      <c r="T193" s="4"/>
      <c r="U193" s="4"/>
      <c r="V193" s="4"/>
      <c r="W193" s="4"/>
    </row>
    <row r="194" spans="1:23" x14ac:dyDescent="0.2">
      <c r="A194" s="4">
        <v>50</v>
      </c>
      <c r="B194" s="4">
        <v>0</v>
      </c>
      <c r="C194" s="4">
        <v>0</v>
      </c>
      <c r="D194" s="4">
        <v>1</v>
      </c>
      <c r="E194" s="4">
        <v>225</v>
      </c>
      <c r="F194" s="4">
        <f>ROUND(Source!AV189,O194)</f>
        <v>557948.27</v>
      </c>
      <c r="G194" s="4" t="s">
        <v>59</v>
      </c>
      <c r="H194" s="4" t="s">
        <v>60</v>
      </c>
      <c r="I194" s="4"/>
      <c r="J194" s="4"/>
      <c r="K194" s="4">
        <v>225</v>
      </c>
      <c r="L194" s="4">
        <v>4</v>
      </c>
      <c r="M194" s="4">
        <v>3</v>
      </c>
      <c r="N194" s="4" t="s">
        <v>3</v>
      </c>
      <c r="O194" s="4">
        <v>2</v>
      </c>
      <c r="P194" s="4"/>
      <c r="Q194" s="4"/>
      <c r="R194" s="4"/>
      <c r="S194" s="4"/>
      <c r="T194" s="4"/>
      <c r="U194" s="4"/>
      <c r="V194" s="4"/>
      <c r="W194" s="4"/>
    </row>
    <row r="195" spans="1:23" x14ac:dyDescent="0.2">
      <c r="A195" s="4">
        <v>50</v>
      </c>
      <c r="B195" s="4">
        <v>0</v>
      </c>
      <c r="C195" s="4">
        <v>0</v>
      </c>
      <c r="D195" s="4">
        <v>1</v>
      </c>
      <c r="E195" s="4">
        <v>226</v>
      </c>
      <c r="F195" s="4">
        <f>ROUND(Source!AW189,O195)</f>
        <v>202677.26</v>
      </c>
      <c r="G195" s="4" t="s">
        <v>61</v>
      </c>
      <c r="H195" s="4" t="s">
        <v>62</v>
      </c>
      <c r="I195" s="4"/>
      <c r="J195" s="4"/>
      <c r="K195" s="4">
        <v>226</v>
      </c>
      <c r="L195" s="4">
        <v>5</v>
      </c>
      <c r="M195" s="4">
        <v>3</v>
      </c>
      <c r="N195" s="4" t="s">
        <v>3</v>
      </c>
      <c r="O195" s="4">
        <v>2</v>
      </c>
      <c r="P195" s="4"/>
      <c r="Q195" s="4"/>
      <c r="R195" s="4"/>
      <c r="S195" s="4"/>
      <c r="T195" s="4"/>
      <c r="U195" s="4"/>
      <c r="V195" s="4"/>
      <c r="W195" s="4"/>
    </row>
    <row r="196" spans="1:23" x14ac:dyDescent="0.2">
      <c r="A196" s="4">
        <v>50</v>
      </c>
      <c r="B196" s="4">
        <v>0</v>
      </c>
      <c r="C196" s="4">
        <v>0</v>
      </c>
      <c r="D196" s="4">
        <v>1</v>
      </c>
      <c r="E196" s="4">
        <v>227</v>
      </c>
      <c r="F196" s="4">
        <f>ROUND(Source!AX189,O196)</f>
        <v>0</v>
      </c>
      <c r="G196" s="4" t="s">
        <v>63</v>
      </c>
      <c r="H196" s="4" t="s">
        <v>64</v>
      </c>
      <c r="I196" s="4"/>
      <c r="J196" s="4"/>
      <c r="K196" s="4">
        <v>227</v>
      </c>
      <c r="L196" s="4">
        <v>6</v>
      </c>
      <c r="M196" s="4">
        <v>3</v>
      </c>
      <c r="N196" s="4" t="s">
        <v>3</v>
      </c>
      <c r="O196" s="4">
        <v>2</v>
      </c>
      <c r="P196" s="4"/>
      <c r="Q196" s="4"/>
      <c r="R196" s="4"/>
      <c r="S196" s="4"/>
      <c r="T196" s="4"/>
      <c r="U196" s="4"/>
      <c r="V196" s="4"/>
      <c r="W196" s="4"/>
    </row>
    <row r="197" spans="1:23" x14ac:dyDescent="0.2">
      <c r="A197" s="4">
        <v>50</v>
      </c>
      <c r="B197" s="4">
        <v>0</v>
      </c>
      <c r="C197" s="4">
        <v>0</v>
      </c>
      <c r="D197" s="4">
        <v>1</v>
      </c>
      <c r="E197" s="4">
        <v>228</v>
      </c>
      <c r="F197" s="4">
        <f>ROUND(Source!AY189,O197)</f>
        <v>202677.26</v>
      </c>
      <c r="G197" s="4" t="s">
        <v>65</v>
      </c>
      <c r="H197" s="4" t="s">
        <v>66</v>
      </c>
      <c r="I197" s="4"/>
      <c r="J197" s="4"/>
      <c r="K197" s="4">
        <v>228</v>
      </c>
      <c r="L197" s="4">
        <v>7</v>
      </c>
      <c r="M197" s="4">
        <v>3</v>
      </c>
      <c r="N197" s="4" t="s">
        <v>3</v>
      </c>
      <c r="O197" s="4">
        <v>2</v>
      </c>
      <c r="P197" s="4"/>
      <c r="Q197" s="4"/>
      <c r="R197" s="4"/>
      <c r="S197" s="4"/>
      <c r="T197" s="4"/>
      <c r="U197" s="4"/>
      <c r="V197" s="4"/>
      <c r="W197" s="4"/>
    </row>
    <row r="198" spans="1:23" x14ac:dyDescent="0.2">
      <c r="A198" s="4">
        <v>50</v>
      </c>
      <c r="B198" s="4">
        <v>0</v>
      </c>
      <c r="C198" s="4">
        <v>0</v>
      </c>
      <c r="D198" s="4">
        <v>1</v>
      </c>
      <c r="E198" s="4">
        <v>216</v>
      </c>
      <c r="F198" s="4">
        <f>ROUND(Source!AP189,O198)</f>
        <v>355271.01</v>
      </c>
      <c r="G198" s="4" t="s">
        <v>67</v>
      </c>
      <c r="H198" s="4" t="s">
        <v>68</v>
      </c>
      <c r="I198" s="4"/>
      <c r="J198" s="4"/>
      <c r="K198" s="4">
        <v>216</v>
      </c>
      <c r="L198" s="4">
        <v>8</v>
      </c>
      <c r="M198" s="4">
        <v>3</v>
      </c>
      <c r="N198" s="4" t="s">
        <v>3</v>
      </c>
      <c r="O198" s="4">
        <v>2</v>
      </c>
      <c r="P198" s="4"/>
      <c r="Q198" s="4"/>
      <c r="R198" s="4"/>
      <c r="S198" s="4"/>
      <c r="T198" s="4"/>
      <c r="U198" s="4"/>
      <c r="V198" s="4"/>
      <c r="W198" s="4"/>
    </row>
    <row r="199" spans="1:23" x14ac:dyDescent="0.2">
      <c r="A199" s="4">
        <v>50</v>
      </c>
      <c r="B199" s="4">
        <v>0</v>
      </c>
      <c r="C199" s="4">
        <v>0</v>
      </c>
      <c r="D199" s="4">
        <v>1</v>
      </c>
      <c r="E199" s="4">
        <v>223</v>
      </c>
      <c r="F199" s="4">
        <f>ROUND(Source!AQ189,O199)</f>
        <v>0</v>
      </c>
      <c r="G199" s="4" t="s">
        <v>69</v>
      </c>
      <c r="H199" s="4" t="s">
        <v>70</v>
      </c>
      <c r="I199" s="4"/>
      <c r="J199" s="4"/>
      <c r="K199" s="4">
        <v>223</v>
      </c>
      <c r="L199" s="4">
        <v>9</v>
      </c>
      <c r="M199" s="4">
        <v>3</v>
      </c>
      <c r="N199" s="4" t="s">
        <v>3</v>
      </c>
      <c r="O199" s="4">
        <v>2</v>
      </c>
      <c r="P199" s="4"/>
      <c r="Q199" s="4"/>
      <c r="R199" s="4"/>
      <c r="S199" s="4"/>
      <c r="T199" s="4"/>
      <c r="U199" s="4"/>
      <c r="V199" s="4"/>
      <c r="W199" s="4"/>
    </row>
    <row r="200" spans="1:23" x14ac:dyDescent="0.2">
      <c r="A200" s="4">
        <v>50</v>
      </c>
      <c r="B200" s="4">
        <v>0</v>
      </c>
      <c r="C200" s="4">
        <v>0</v>
      </c>
      <c r="D200" s="4">
        <v>1</v>
      </c>
      <c r="E200" s="4">
        <v>229</v>
      </c>
      <c r="F200" s="4">
        <f>ROUND(Source!AZ189,O200)</f>
        <v>355271.01</v>
      </c>
      <c r="G200" s="4" t="s">
        <v>71</v>
      </c>
      <c r="H200" s="4" t="s">
        <v>72</v>
      </c>
      <c r="I200" s="4"/>
      <c r="J200" s="4"/>
      <c r="K200" s="4">
        <v>229</v>
      </c>
      <c r="L200" s="4">
        <v>10</v>
      </c>
      <c r="M200" s="4">
        <v>3</v>
      </c>
      <c r="N200" s="4" t="s">
        <v>3</v>
      </c>
      <c r="O200" s="4">
        <v>2</v>
      </c>
      <c r="P200" s="4"/>
      <c r="Q200" s="4"/>
      <c r="R200" s="4"/>
      <c r="S200" s="4"/>
      <c r="T200" s="4"/>
      <c r="U200" s="4"/>
      <c r="V200" s="4"/>
      <c r="W200" s="4"/>
    </row>
    <row r="201" spans="1:23" x14ac:dyDescent="0.2">
      <c r="A201" s="4">
        <v>50</v>
      </c>
      <c r="B201" s="4">
        <v>0</v>
      </c>
      <c r="C201" s="4">
        <v>0</v>
      </c>
      <c r="D201" s="4">
        <v>1</v>
      </c>
      <c r="E201" s="4">
        <v>203</v>
      </c>
      <c r="F201" s="4">
        <f>ROUND(Source!Q189,O201)</f>
        <v>17438.98</v>
      </c>
      <c r="G201" s="4" t="s">
        <v>73</v>
      </c>
      <c r="H201" s="4" t="s">
        <v>74</v>
      </c>
      <c r="I201" s="4"/>
      <c r="J201" s="4"/>
      <c r="K201" s="4">
        <v>203</v>
      </c>
      <c r="L201" s="4">
        <v>11</v>
      </c>
      <c r="M201" s="4">
        <v>3</v>
      </c>
      <c r="N201" s="4" t="s">
        <v>3</v>
      </c>
      <c r="O201" s="4">
        <v>2</v>
      </c>
      <c r="P201" s="4"/>
      <c r="Q201" s="4"/>
      <c r="R201" s="4"/>
      <c r="S201" s="4"/>
      <c r="T201" s="4"/>
      <c r="U201" s="4"/>
      <c r="V201" s="4"/>
      <c r="W201" s="4"/>
    </row>
    <row r="202" spans="1:23" x14ac:dyDescent="0.2">
      <c r="A202" s="4">
        <v>50</v>
      </c>
      <c r="B202" s="4">
        <v>0</v>
      </c>
      <c r="C202" s="4">
        <v>0</v>
      </c>
      <c r="D202" s="4">
        <v>1</v>
      </c>
      <c r="E202" s="4">
        <v>231</v>
      </c>
      <c r="F202" s="4">
        <f>ROUND(Source!BB189,O202)</f>
        <v>0</v>
      </c>
      <c r="G202" s="4" t="s">
        <v>75</v>
      </c>
      <c r="H202" s="4" t="s">
        <v>76</v>
      </c>
      <c r="I202" s="4"/>
      <c r="J202" s="4"/>
      <c r="K202" s="4">
        <v>231</v>
      </c>
      <c r="L202" s="4">
        <v>12</v>
      </c>
      <c r="M202" s="4">
        <v>3</v>
      </c>
      <c r="N202" s="4" t="s">
        <v>3</v>
      </c>
      <c r="O202" s="4">
        <v>2</v>
      </c>
      <c r="P202" s="4"/>
      <c r="Q202" s="4"/>
      <c r="R202" s="4"/>
      <c r="S202" s="4"/>
      <c r="T202" s="4"/>
      <c r="U202" s="4"/>
      <c r="V202" s="4"/>
      <c r="W202" s="4"/>
    </row>
    <row r="203" spans="1:23" x14ac:dyDescent="0.2">
      <c r="A203" s="4">
        <v>50</v>
      </c>
      <c r="B203" s="4">
        <v>0</v>
      </c>
      <c r="C203" s="4">
        <v>0</v>
      </c>
      <c r="D203" s="4">
        <v>1</v>
      </c>
      <c r="E203" s="4">
        <v>204</v>
      </c>
      <c r="F203" s="4">
        <f>ROUND(Source!R189,O203)</f>
        <v>8968.86</v>
      </c>
      <c r="G203" s="4" t="s">
        <v>77</v>
      </c>
      <c r="H203" s="4" t="s">
        <v>78</v>
      </c>
      <c r="I203" s="4"/>
      <c r="J203" s="4"/>
      <c r="K203" s="4">
        <v>204</v>
      </c>
      <c r="L203" s="4">
        <v>13</v>
      </c>
      <c r="M203" s="4">
        <v>3</v>
      </c>
      <c r="N203" s="4" t="s">
        <v>3</v>
      </c>
      <c r="O203" s="4">
        <v>2</v>
      </c>
      <c r="P203" s="4"/>
      <c r="Q203" s="4"/>
      <c r="R203" s="4"/>
      <c r="S203" s="4"/>
      <c r="T203" s="4"/>
      <c r="U203" s="4"/>
      <c r="V203" s="4"/>
      <c r="W203" s="4"/>
    </row>
    <row r="204" spans="1:23" x14ac:dyDescent="0.2">
      <c r="A204" s="4">
        <v>50</v>
      </c>
      <c r="B204" s="4">
        <v>0</v>
      </c>
      <c r="C204" s="4">
        <v>0</v>
      </c>
      <c r="D204" s="4">
        <v>1</v>
      </c>
      <c r="E204" s="4">
        <v>205</v>
      </c>
      <c r="F204" s="4">
        <f>ROUND(Source!S189,O204)</f>
        <v>56799.78</v>
      </c>
      <c r="G204" s="4" t="s">
        <v>79</v>
      </c>
      <c r="H204" s="4" t="s">
        <v>80</v>
      </c>
      <c r="I204" s="4"/>
      <c r="J204" s="4"/>
      <c r="K204" s="4">
        <v>205</v>
      </c>
      <c r="L204" s="4">
        <v>14</v>
      </c>
      <c r="M204" s="4">
        <v>3</v>
      </c>
      <c r="N204" s="4" t="s">
        <v>3</v>
      </c>
      <c r="O204" s="4">
        <v>2</v>
      </c>
      <c r="P204" s="4"/>
      <c r="Q204" s="4"/>
      <c r="R204" s="4"/>
      <c r="S204" s="4"/>
      <c r="T204" s="4"/>
      <c r="U204" s="4"/>
      <c r="V204" s="4"/>
      <c r="W204" s="4"/>
    </row>
    <row r="205" spans="1:23" x14ac:dyDescent="0.2">
      <c r="A205" s="4">
        <v>50</v>
      </c>
      <c r="B205" s="4">
        <v>0</v>
      </c>
      <c r="C205" s="4">
        <v>0</v>
      </c>
      <c r="D205" s="4">
        <v>1</v>
      </c>
      <c r="E205" s="4">
        <v>232</v>
      </c>
      <c r="F205" s="4">
        <f>ROUND(Source!BC189,O205)</f>
        <v>0</v>
      </c>
      <c r="G205" s="4" t="s">
        <v>81</v>
      </c>
      <c r="H205" s="4" t="s">
        <v>82</v>
      </c>
      <c r="I205" s="4"/>
      <c r="J205" s="4"/>
      <c r="K205" s="4">
        <v>232</v>
      </c>
      <c r="L205" s="4">
        <v>15</v>
      </c>
      <c r="M205" s="4">
        <v>3</v>
      </c>
      <c r="N205" s="4" t="s">
        <v>3</v>
      </c>
      <c r="O205" s="4">
        <v>2</v>
      </c>
      <c r="P205" s="4"/>
      <c r="Q205" s="4"/>
      <c r="R205" s="4"/>
      <c r="S205" s="4"/>
      <c r="T205" s="4"/>
      <c r="U205" s="4"/>
      <c r="V205" s="4"/>
      <c r="W205" s="4"/>
    </row>
    <row r="206" spans="1:23" x14ac:dyDescent="0.2">
      <c r="A206" s="4">
        <v>50</v>
      </c>
      <c r="B206" s="4">
        <v>0</v>
      </c>
      <c r="C206" s="4">
        <v>0</v>
      </c>
      <c r="D206" s="4">
        <v>1</v>
      </c>
      <c r="E206" s="4">
        <v>214</v>
      </c>
      <c r="F206" s="4">
        <f>ROUND(Source!AS189,O206)</f>
        <v>195733.57</v>
      </c>
      <c r="G206" s="4" t="s">
        <v>83</v>
      </c>
      <c r="H206" s="4" t="s">
        <v>84</v>
      </c>
      <c r="I206" s="4"/>
      <c r="J206" s="4"/>
      <c r="K206" s="4">
        <v>214</v>
      </c>
      <c r="L206" s="4">
        <v>16</v>
      </c>
      <c r="M206" s="4">
        <v>3</v>
      </c>
      <c r="N206" s="4" t="s">
        <v>3</v>
      </c>
      <c r="O206" s="4">
        <v>2</v>
      </c>
      <c r="P206" s="4"/>
      <c r="Q206" s="4"/>
      <c r="R206" s="4"/>
      <c r="S206" s="4"/>
      <c r="T206" s="4"/>
      <c r="U206" s="4"/>
      <c r="V206" s="4"/>
      <c r="W206" s="4"/>
    </row>
    <row r="207" spans="1:23" x14ac:dyDescent="0.2">
      <c r="A207" s="4">
        <v>50</v>
      </c>
      <c r="B207" s="4">
        <v>0</v>
      </c>
      <c r="C207" s="4">
        <v>0</v>
      </c>
      <c r="D207" s="4">
        <v>1</v>
      </c>
      <c r="E207" s="4">
        <v>215</v>
      </c>
      <c r="F207" s="4">
        <f>ROUND(Source!AT189,O207)</f>
        <v>113488.18</v>
      </c>
      <c r="G207" s="4" t="s">
        <v>85</v>
      </c>
      <c r="H207" s="4" t="s">
        <v>86</v>
      </c>
      <c r="I207" s="4"/>
      <c r="J207" s="4"/>
      <c r="K207" s="4">
        <v>215</v>
      </c>
      <c r="L207" s="4">
        <v>17</v>
      </c>
      <c r="M207" s="4">
        <v>3</v>
      </c>
      <c r="N207" s="4" t="s">
        <v>3</v>
      </c>
      <c r="O207" s="4">
        <v>2</v>
      </c>
      <c r="P207" s="4"/>
      <c r="Q207" s="4"/>
      <c r="R207" s="4"/>
      <c r="S207" s="4"/>
      <c r="T207" s="4"/>
      <c r="U207" s="4"/>
      <c r="V207" s="4"/>
      <c r="W207" s="4"/>
    </row>
    <row r="208" spans="1:23" x14ac:dyDescent="0.2">
      <c r="A208" s="4">
        <v>50</v>
      </c>
      <c r="B208" s="4">
        <v>0</v>
      </c>
      <c r="C208" s="4">
        <v>0</v>
      </c>
      <c r="D208" s="4">
        <v>1</v>
      </c>
      <c r="E208" s="4">
        <v>217</v>
      </c>
      <c r="F208" s="4">
        <f>ROUND(Source!AU189,O208)</f>
        <v>51505.22</v>
      </c>
      <c r="G208" s="4" t="s">
        <v>87</v>
      </c>
      <c r="H208" s="4" t="s">
        <v>88</v>
      </c>
      <c r="I208" s="4"/>
      <c r="J208" s="4"/>
      <c r="K208" s="4">
        <v>217</v>
      </c>
      <c r="L208" s="4">
        <v>18</v>
      </c>
      <c r="M208" s="4">
        <v>3</v>
      </c>
      <c r="N208" s="4" t="s">
        <v>3</v>
      </c>
      <c r="O208" s="4">
        <v>2</v>
      </c>
      <c r="P208" s="4"/>
      <c r="Q208" s="4"/>
      <c r="R208" s="4"/>
      <c r="S208" s="4"/>
      <c r="T208" s="4"/>
      <c r="U208" s="4"/>
      <c r="V208" s="4"/>
      <c r="W208" s="4"/>
    </row>
    <row r="209" spans="1:206" x14ac:dyDescent="0.2">
      <c r="A209" s="4">
        <v>50</v>
      </c>
      <c r="B209" s="4">
        <v>0</v>
      </c>
      <c r="C209" s="4">
        <v>0</v>
      </c>
      <c r="D209" s="4">
        <v>1</v>
      </c>
      <c r="E209" s="4">
        <v>230</v>
      </c>
      <c r="F209" s="4">
        <f>ROUND(Source!BA189,O209)</f>
        <v>0</v>
      </c>
      <c r="G209" s="4" t="s">
        <v>89</v>
      </c>
      <c r="H209" s="4" t="s">
        <v>90</v>
      </c>
      <c r="I209" s="4"/>
      <c r="J209" s="4"/>
      <c r="K209" s="4">
        <v>230</v>
      </c>
      <c r="L209" s="4">
        <v>19</v>
      </c>
      <c r="M209" s="4">
        <v>3</v>
      </c>
      <c r="N209" s="4" t="s">
        <v>3</v>
      </c>
      <c r="O209" s="4">
        <v>2</v>
      </c>
      <c r="P209" s="4"/>
      <c r="Q209" s="4"/>
      <c r="R209" s="4"/>
      <c r="S209" s="4"/>
      <c r="T209" s="4"/>
      <c r="U209" s="4"/>
      <c r="V209" s="4"/>
      <c r="W209" s="4"/>
    </row>
    <row r="210" spans="1:206" x14ac:dyDescent="0.2">
      <c r="A210" s="4">
        <v>50</v>
      </c>
      <c r="B210" s="4">
        <v>0</v>
      </c>
      <c r="C210" s="4">
        <v>0</v>
      </c>
      <c r="D210" s="4">
        <v>1</v>
      </c>
      <c r="E210" s="4">
        <v>206</v>
      </c>
      <c r="F210" s="4">
        <f>ROUND(Source!T189,O210)</f>
        <v>0</v>
      </c>
      <c r="G210" s="4" t="s">
        <v>91</v>
      </c>
      <c r="H210" s="4" t="s">
        <v>92</v>
      </c>
      <c r="I210" s="4"/>
      <c r="J210" s="4"/>
      <c r="K210" s="4">
        <v>206</v>
      </c>
      <c r="L210" s="4">
        <v>20</v>
      </c>
      <c r="M210" s="4">
        <v>3</v>
      </c>
      <c r="N210" s="4" t="s">
        <v>3</v>
      </c>
      <c r="O210" s="4">
        <v>2</v>
      </c>
      <c r="P210" s="4"/>
      <c r="Q210" s="4"/>
      <c r="R210" s="4"/>
      <c r="S210" s="4"/>
      <c r="T210" s="4"/>
      <c r="U210" s="4"/>
      <c r="V210" s="4"/>
      <c r="W210" s="4"/>
    </row>
    <row r="211" spans="1:206" x14ac:dyDescent="0.2">
      <c r="A211" s="4">
        <v>50</v>
      </c>
      <c r="B211" s="4">
        <v>0</v>
      </c>
      <c r="C211" s="4">
        <v>0</v>
      </c>
      <c r="D211" s="4">
        <v>1</v>
      </c>
      <c r="E211" s="4">
        <v>207</v>
      </c>
      <c r="F211" s="4">
        <f>ROUND(Source!U189,O211)</f>
        <v>175.64</v>
      </c>
      <c r="G211" s="4" t="s">
        <v>93</v>
      </c>
      <c r="H211" s="4" t="s">
        <v>94</v>
      </c>
      <c r="I211" s="4"/>
      <c r="J211" s="4"/>
      <c r="K211" s="4">
        <v>207</v>
      </c>
      <c r="L211" s="4">
        <v>21</v>
      </c>
      <c r="M211" s="4">
        <v>3</v>
      </c>
      <c r="N211" s="4" t="s">
        <v>3</v>
      </c>
      <c r="O211" s="4">
        <v>2</v>
      </c>
      <c r="P211" s="4"/>
      <c r="Q211" s="4"/>
      <c r="R211" s="4"/>
      <c r="S211" s="4"/>
      <c r="T211" s="4"/>
      <c r="U211" s="4"/>
      <c r="V211" s="4"/>
      <c r="W211" s="4"/>
    </row>
    <row r="212" spans="1:206" x14ac:dyDescent="0.2">
      <c r="A212" s="4">
        <v>50</v>
      </c>
      <c r="B212" s="4">
        <v>0</v>
      </c>
      <c r="C212" s="4">
        <v>0</v>
      </c>
      <c r="D212" s="4">
        <v>1</v>
      </c>
      <c r="E212" s="4">
        <v>208</v>
      </c>
      <c r="F212" s="4">
        <f>ROUND(Source!V189,O212)</f>
        <v>0</v>
      </c>
      <c r="G212" s="4" t="s">
        <v>95</v>
      </c>
      <c r="H212" s="4" t="s">
        <v>96</v>
      </c>
      <c r="I212" s="4"/>
      <c r="J212" s="4"/>
      <c r="K212" s="4">
        <v>208</v>
      </c>
      <c r="L212" s="4">
        <v>22</v>
      </c>
      <c r="M212" s="4">
        <v>3</v>
      </c>
      <c r="N212" s="4" t="s">
        <v>3</v>
      </c>
      <c r="O212" s="4">
        <v>2</v>
      </c>
      <c r="P212" s="4"/>
      <c r="Q212" s="4"/>
      <c r="R212" s="4"/>
      <c r="S212" s="4"/>
      <c r="T212" s="4"/>
      <c r="U212" s="4"/>
      <c r="V212" s="4"/>
      <c r="W212" s="4"/>
    </row>
    <row r="213" spans="1:206" x14ac:dyDescent="0.2">
      <c r="A213" s="4">
        <v>50</v>
      </c>
      <c r="B213" s="4">
        <v>0</v>
      </c>
      <c r="C213" s="4">
        <v>0</v>
      </c>
      <c r="D213" s="4">
        <v>1</v>
      </c>
      <c r="E213" s="4">
        <v>209</v>
      </c>
      <c r="F213" s="4">
        <f>ROUND(Source!W189,O213)</f>
        <v>0</v>
      </c>
      <c r="G213" s="4" t="s">
        <v>97</v>
      </c>
      <c r="H213" s="4" t="s">
        <v>98</v>
      </c>
      <c r="I213" s="4"/>
      <c r="J213" s="4"/>
      <c r="K213" s="4">
        <v>209</v>
      </c>
      <c r="L213" s="4">
        <v>23</v>
      </c>
      <c r="M213" s="4">
        <v>3</v>
      </c>
      <c r="N213" s="4" t="s">
        <v>3</v>
      </c>
      <c r="O213" s="4">
        <v>2</v>
      </c>
      <c r="P213" s="4"/>
      <c r="Q213" s="4"/>
      <c r="R213" s="4"/>
      <c r="S213" s="4"/>
      <c r="T213" s="4"/>
      <c r="U213" s="4"/>
      <c r="V213" s="4"/>
      <c r="W213" s="4"/>
    </row>
    <row r="214" spans="1:206" x14ac:dyDescent="0.2">
      <c r="A214" s="4">
        <v>50</v>
      </c>
      <c r="B214" s="4">
        <v>0</v>
      </c>
      <c r="C214" s="4">
        <v>0</v>
      </c>
      <c r="D214" s="4">
        <v>1</v>
      </c>
      <c r="E214" s="4">
        <v>233</v>
      </c>
      <c r="F214" s="4">
        <f>ROUND(Source!BD189,O214)</f>
        <v>0</v>
      </c>
      <c r="G214" s="4" t="s">
        <v>99</v>
      </c>
      <c r="H214" s="4" t="s">
        <v>100</v>
      </c>
      <c r="I214" s="4"/>
      <c r="J214" s="4"/>
      <c r="K214" s="4">
        <v>233</v>
      </c>
      <c r="L214" s="4">
        <v>24</v>
      </c>
      <c r="M214" s="4">
        <v>3</v>
      </c>
      <c r="N214" s="4" t="s">
        <v>3</v>
      </c>
      <c r="O214" s="4">
        <v>2</v>
      </c>
      <c r="P214" s="4"/>
      <c r="Q214" s="4"/>
      <c r="R214" s="4"/>
      <c r="S214" s="4"/>
      <c r="T214" s="4"/>
      <c r="U214" s="4"/>
      <c r="V214" s="4"/>
      <c r="W214" s="4"/>
    </row>
    <row r="215" spans="1:206" x14ac:dyDescent="0.2">
      <c r="A215" s="4">
        <v>50</v>
      </c>
      <c r="B215" s="4">
        <v>0</v>
      </c>
      <c r="C215" s="4">
        <v>0</v>
      </c>
      <c r="D215" s="4">
        <v>1</v>
      </c>
      <c r="E215" s="4">
        <v>210</v>
      </c>
      <c r="F215" s="4">
        <f>ROUND(Source!X189,O215)</f>
        <v>45801.89</v>
      </c>
      <c r="G215" s="4" t="s">
        <v>101</v>
      </c>
      <c r="H215" s="4" t="s">
        <v>102</v>
      </c>
      <c r="I215" s="4"/>
      <c r="J215" s="4"/>
      <c r="K215" s="4">
        <v>210</v>
      </c>
      <c r="L215" s="4">
        <v>25</v>
      </c>
      <c r="M215" s="4">
        <v>3</v>
      </c>
      <c r="N215" s="4" t="s">
        <v>3</v>
      </c>
      <c r="O215" s="4">
        <v>2</v>
      </c>
      <c r="P215" s="4"/>
      <c r="Q215" s="4"/>
      <c r="R215" s="4"/>
      <c r="S215" s="4"/>
      <c r="T215" s="4"/>
      <c r="U215" s="4"/>
      <c r="V215" s="4"/>
      <c r="W215" s="4"/>
    </row>
    <row r="216" spans="1:206" x14ac:dyDescent="0.2">
      <c r="A216" s="4">
        <v>50</v>
      </c>
      <c r="B216" s="4">
        <v>0</v>
      </c>
      <c r="C216" s="4">
        <v>0</v>
      </c>
      <c r="D216" s="4">
        <v>1</v>
      </c>
      <c r="E216" s="4">
        <v>211</v>
      </c>
      <c r="F216" s="4">
        <f>ROUND(Source!Y189,O216)</f>
        <v>23927.96</v>
      </c>
      <c r="G216" s="4" t="s">
        <v>103</v>
      </c>
      <c r="H216" s="4" t="s">
        <v>104</v>
      </c>
      <c r="I216" s="4"/>
      <c r="J216" s="4"/>
      <c r="K216" s="4">
        <v>211</v>
      </c>
      <c r="L216" s="4">
        <v>26</v>
      </c>
      <c r="M216" s="4">
        <v>3</v>
      </c>
      <c r="N216" s="4" t="s">
        <v>3</v>
      </c>
      <c r="O216" s="4">
        <v>2</v>
      </c>
      <c r="P216" s="4"/>
      <c r="Q216" s="4"/>
      <c r="R216" s="4"/>
      <c r="S216" s="4"/>
      <c r="T216" s="4"/>
      <c r="U216" s="4"/>
      <c r="V216" s="4"/>
      <c r="W216" s="4"/>
    </row>
    <row r="217" spans="1:206" x14ac:dyDescent="0.2">
      <c r="A217" s="4">
        <v>50</v>
      </c>
      <c r="B217" s="4">
        <v>0</v>
      </c>
      <c r="C217" s="4">
        <v>0</v>
      </c>
      <c r="D217" s="4">
        <v>1</v>
      </c>
      <c r="E217" s="4">
        <v>224</v>
      </c>
      <c r="F217" s="4">
        <f>ROUND(Source!AR189,O217)</f>
        <v>715997.98</v>
      </c>
      <c r="G217" s="4" t="s">
        <v>105</v>
      </c>
      <c r="H217" s="4" t="s">
        <v>106</v>
      </c>
      <c r="I217" s="4"/>
      <c r="J217" s="4"/>
      <c r="K217" s="4">
        <v>224</v>
      </c>
      <c r="L217" s="4">
        <v>27</v>
      </c>
      <c r="M217" s="4">
        <v>3</v>
      </c>
      <c r="N217" s="4" t="s">
        <v>3</v>
      </c>
      <c r="O217" s="4">
        <v>2</v>
      </c>
      <c r="P217" s="4"/>
      <c r="Q217" s="4"/>
      <c r="R217" s="4"/>
      <c r="S217" s="4"/>
      <c r="T217" s="4"/>
      <c r="U217" s="4"/>
      <c r="V217" s="4"/>
      <c r="W217" s="4"/>
    </row>
    <row r="219" spans="1:206" x14ac:dyDescent="0.2">
      <c r="A219" s="5">
        <v>60</v>
      </c>
      <c r="B219" s="5">
        <f>IF(Source!F219&lt;&gt;0,1,0)</f>
        <v>0</v>
      </c>
      <c r="C219" s="5"/>
      <c r="D219" s="5">
        <f>ROW(A20)</f>
        <v>20</v>
      </c>
      <c r="E219" s="5">
        <v>1</v>
      </c>
      <c r="F219" s="5">
        <v>0</v>
      </c>
      <c r="G219" s="5" t="s">
        <v>202</v>
      </c>
      <c r="H219" s="5" t="s">
        <v>3</v>
      </c>
    </row>
    <row r="221" spans="1:206" x14ac:dyDescent="0.2">
      <c r="A221" s="2">
        <v>51</v>
      </c>
      <c r="B221" s="2">
        <f>B12</f>
        <v>259</v>
      </c>
      <c r="C221" s="2">
        <f>A12</f>
        <v>1</v>
      </c>
      <c r="D221" s="2">
        <f>ROW(A12)</f>
        <v>12</v>
      </c>
      <c r="E221" s="2"/>
      <c r="F221" s="2" t="str">
        <f>IF(F12&lt;&gt;"",F12,"")</f>
        <v>1</v>
      </c>
      <c r="G221" s="2" t="str">
        <f>IF(G12&lt;&gt;"",G12,"")</f>
        <v>г. Москва, МКАД_(01.10.2020)</v>
      </c>
      <c r="H221" s="2">
        <v>0</v>
      </c>
      <c r="I221" s="2"/>
      <c r="J221" s="2"/>
      <c r="K221" s="2"/>
      <c r="L221" s="2"/>
      <c r="M221" s="2"/>
      <c r="N221" s="2"/>
      <c r="O221" s="2">
        <f t="shared" ref="O221:T221" si="159">ROUND(O189,2)</f>
        <v>632187.03</v>
      </c>
      <c r="P221" s="2">
        <f t="shared" si="159"/>
        <v>557948.27</v>
      </c>
      <c r="Q221" s="2">
        <f t="shared" si="159"/>
        <v>17438.98</v>
      </c>
      <c r="R221" s="2">
        <f t="shared" si="159"/>
        <v>8968.86</v>
      </c>
      <c r="S221" s="2">
        <f t="shared" si="159"/>
        <v>56799.78</v>
      </c>
      <c r="T221" s="2">
        <f t="shared" si="159"/>
        <v>0</v>
      </c>
      <c r="U221" s="2">
        <f>U189</f>
        <v>175.6428282</v>
      </c>
      <c r="V221" s="2">
        <f>V189</f>
        <v>0</v>
      </c>
      <c r="W221" s="2">
        <f>ROUND(W189,2)</f>
        <v>0</v>
      </c>
      <c r="X221" s="2">
        <f>ROUND(X189,2)</f>
        <v>45801.89</v>
      </c>
      <c r="Y221" s="2">
        <f>ROUND(Y189,2)</f>
        <v>23927.96</v>
      </c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>
        <f t="shared" ref="AO221:BD221" si="160">ROUND(AO189,2)</f>
        <v>0</v>
      </c>
      <c r="AP221" s="2">
        <f t="shared" si="160"/>
        <v>355271.01</v>
      </c>
      <c r="AQ221" s="2">
        <f t="shared" si="160"/>
        <v>0</v>
      </c>
      <c r="AR221" s="2">
        <f t="shared" si="160"/>
        <v>715997.98</v>
      </c>
      <c r="AS221" s="2">
        <f t="shared" si="160"/>
        <v>195733.57</v>
      </c>
      <c r="AT221" s="2">
        <f t="shared" si="160"/>
        <v>113488.18</v>
      </c>
      <c r="AU221" s="2">
        <f t="shared" si="160"/>
        <v>51505.22</v>
      </c>
      <c r="AV221" s="2">
        <f t="shared" si="160"/>
        <v>557948.27</v>
      </c>
      <c r="AW221" s="2">
        <f t="shared" si="160"/>
        <v>202677.26</v>
      </c>
      <c r="AX221" s="2">
        <f t="shared" si="160"/>
        <v>0</v>
      </c>
      <c r="AY221" s="2">
        <f t="shared" si="160"/>
        <v>202677.26</v>
      </c>
      <c r="AZ221" s="2">
        <f t="shared" si="160"/>
        <v>355271.01</v>
      </c>
      <c r="BA221" s="2">
        <f t="shared" si="160"/>
        <v>0</v>
      </c>
      <c r="BB221" s="2">
        <f t="shared" si="160"/>
        <v>0</v>
      </c>
      <c r="BC221" s="2">
        <f t="shared" si="160"/>
        <v>0</v>
      </c>
      <c r="BD221" s="2">
        <f t="shared" si="160"/>
        <v>0</v>
      </c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>
        <v>0</v>
      </c>
    </row>
    <row r="223" spans="1:206" x14ac:dyDescent="0.2">
      <c r="A223" s="4">
        <v>50</v>
      </c>
      <c r="B223" s="4">
        <v>0</v>
      </c>
      <c r="C223" s="4">
        <v>0</v>
      </c>
      <c r="D223" s="4">
        <v>1</v>
      </c>
      <c r="E223" s="4">
        <v>201</v>
      </c>
      <c r="F223" s="4">
        <f>ROUND(Source!O221,O223)</f>
        <v>632187.03</v>
      </c>
      <c r="G223" s="4" t="s">
        <v>53</v>
      </c>
      <c r="H223" s="4" t="s">
        <v>54</v>
      </c>
      <c r="I223" s="4"/>
      <c r="J223" s="4"/>
      <c r="K223" s="4">
        <v>201</v>
      </c>
      <c r="L223" s="4">
        <v>1</v>
      </c>
      <c r="M223" s="4">
        <v>3</v>
      </c>
      <c r="N223" s="4" t="s">
        <v>3</v>
      </c>
      <c r="O223" s="4">
        <v>2</v>
      </c>
      <c r="P223" s="4"/>
      <c r="Q223" s="4"/>
      <c r="R223" s="4"/>
      <c r="S223" s="4"/>
      <c r="T223" s="4"/>
      <c r="U223" s="4"/>
      <c r="V223" s="4"/>
      <c r="W223" s="4"/>
    </row>
    <row r="224" spans="1:206" x14ac:dyDescent="0.2">
      <c r="A224" s="4">
        <v>50</v>
      </c>
      <c r="B224" s="4">
        <v>0</v>
      </c>
      <c r="C224" s="4">
        <v>0</v>
      </c>
      <c r="D224" s="4">
        <v>1</v>
      </c>
      <c r="E224" s="4">
        <v>202</v>
      </c>
      <c r="F224" s="4">
        <f>ROUND(Source!P221,O224)</f>
        <v>557948.27</v>
      </c>
      <c r="G224" s="4" t="s">
        <v>55</v>
      </c>
      <c r="H224" s="4" t="s">
        <v>56</v>
      </c>
      <c r="I224" s="4"/>
      <c r="J224" s="4"/>
      <c r="K224" s="4">
        <v>202</v>
      </c>
      <c r="L224" s="4">
        <v>2</v>
      </c>
      <c r="M224" s="4">
        <v>3</v>
      </c>
      <c r="N224" s="4" t="s">
        <v>3</v>
      </c>
      <c r="O224" s="4">
        <v>2</v>
      </c>
      <c r="P224" s="4"/>
      <c r="Q224" s="4"/>
      <c r="R224" s="4"/>
      <c r="S224" s="4"/>
      <c r="T224" s="4"/>
      <c r="U224" s="4"/>
      <c r="V224" s="4"/>
      <c r="W224" s="4"/>
    </row>
    <row r="225" spans="1:23" x14ac:dyDescent="0.2">
      <c r="A225" s="4">
        <v>50</v>
      </c>
      <c r="B225" s="4">
        <v>0</v>
      </c>
      <c r="C225" s="4">
        <v>0</v>
      </c>
      <c r="D225" s="4">
        <v>1</v>
      </c>
      <c r="E225" s="4">
        <v>31509382</v>
      </c>
      <c r="F225" s="4">
        <f>ROUND(Source!AO221,O225)</f>
        <v>0</v>
      </c>
      <c r="G225" s="4" t="s">
        <v>57</v>
      </c>
      <c r="H225" s="4" t="s">
        <v>58</v>
      </c>
      <c r="I225" s="4"/>
      <c r="J225" s="4"/>
      <c r="K225" s="4">
        <v>222</v>
      </c>
      <c r="L225" s="4">
        <v>3</v>
      </c>
      <c r="M225" s="4">
        <v>3</v>
      </c>
      <c r="N225" s="4" t="s">
        <v>3</v>
      </c>
      <c r="O225" s="4">
        <v>2</v>
      </c>
      <c r="P225" s="4"/>
      <c r="Q225" s="4"/>
      <c r="R225" s="4"/>
      <c r="S225" s="4"/>
      <c r="T225" s="4"/>
      <c r="U225" s="4"/>
      <c r="V225" s="4"/>
      <c r="W225" s="4"/>
    </row>
    <row r="226" spans="1:23" x14ac:dyDescent="0.2">
      <c r="A226" s="4">
        <v>50</v>
      </c>
      <c r="B226" s="4">
        <v>0</v>
      </c>
      <c r="C226" s="4">
        <v>0</v>
      </c>
      <c r="D226" s="4">
        <v>1</v>
      </c>
      <c r="E226" s="4">
        <v>225</v>
      </c>
      <c r="F226" s="4">
        <f>ROUND(Source!AV221,O226)</f>
        <v>557948.27</v>
      </c>
      <c r="G226" s="4" t="s">
        <v>59</v>
      </c>
      <c r="H226" s="4" t="s">
        <v>60</v>
      </c>
      <c r="I226" s="4"/>
      <c r="J226" s="4"/>
      <c r="K226" s="4">
        <v>225</v>
      </c>
      <c r="L226" s="4">
        <v>4</v>
      </c>
      <c r="M226" s="4">
        <v>3</v>
      </c>
      <c r="N226" s="4" t="s">
        <v>3</v>
      </c>
      <c r="O226" s="4">
        <v>2</v>
      </c>
      <c r="P226" s="4"/>
      <c r="Q226" s="4"/>
      <c r="R226" s="4"/>
      <c r="S226" s="4"/>
      <c r="T226" s="4"/>
      <c r="U226" s="4"/>
      <c r="V226" s="4"/>
      <c r="W226" s="4"/>
    </row>
    <row r="227" spans="1:23" x14ac:dyDescent="0.2">
      <c r="A227" s="4">
        <v>50</v>
      </c>
      <c r="B227" s="4">
        <v>0</v>
      </c>
      <c r="C227" s="4">
        <v>0</v>
      </c>
      <c r="D227" s="4">
        <v>1</v>
      </c>
      <c r="E227" s="4">
        <v>226</v>
      </c>
      <c r="F227" s="4">
        <f>ROUND(Source!AW221,O227)</f>
        <v>202677.26</v>
      </c>
      <c r="G227" s="4" t="s">
        <v>61</v>
      </c>
      <c r="H227" s="4" t="s">
        <v>62</v>
      </c>
      <c r="I227" s="4"/>
      <c r="J227" s="4"/>
      <c r="K227" s="4">
        <v>226</v>
      </c>
      <c r="L227" s="4">
        <v>5</v>
      </c>
      <c r="M227" s="4">
        <v>3</v>
      </c>
      <c r="N227" s="4" t="s">
        <v>3</v>
      </c>
      <c r="O227" s="4">
        <v>2</v>
      </c>
      <c r="P227" s="4"/>
      <c r="Q227" s="4"/>
      <c r="R227" s="4"/>
      <c r="S227" s="4"/>
      <c r="T227" s="4"/>
      <c r="U227" s="4"/>
      <c r="V227" s="4"/>
      <c r="W227" s="4"/>
    </row>
    <row r="228" spans="1:23" x14ac:dyDescent="0.2">
      <c r="A228" s="4">
        <v>50</v>
      </c>
      <c r="B228" s="4">
        <v>0</v>
      </c>
      <c r="C228" s="4">
        <v>0</v>
      </c>
      <c r="D228" s="4">
        <v>1</v>
      </c>
      <c r="E228" s="4">
        <v>227</v>
      </c>
      <c r="F228" s="4">
        <f>ROUND(Source!AX221,O228)</f>
        <v>0</v>
      </c>
      <c r="G228" s="4" t="s">
        <v>63</v>
      </c>
      <c r="H228" s="4" t="s">
        <v>64</v>
      </c>
      <c r="I228" s="4"/>
      <c r="J228" s="4"/>
      <c r="K228" s="4">
        <v>227</v>
      </c>
      <c r="L228" s="4">
        <v>6</v>
      </c>
      <c r="M228" s="4">
        <v>3</v>
      </c>
      <c r="N228" s="4" t="s">
        <v>3</v>
      </c>
      <c r="O228" s="4">
        <v>2</v>
      </c>
      <c r="P228" s="4"/>
      <c r="Q228" s="4"/>
      <c r="R228" s="4"/>
      <c r="S228" s="4"/>
      <c r="T228" s="4"/>
      <c r="U228" s="4"/>
      <c r="V228" s="4"/>
      <c r="W228" s="4"/>
    </row>
    <row r="229" spans="1:23" x14ac:dyDescent="0.2">
      <c r="A229" s="4">
        <v>50</v>
      </c>
      <c r="B229" s="4">
        <v>0</v>
      </c>
      <c r="C229" s="4">
        <v>0</v>
      </c>
      <c r="D229" s="4">
        <v>1</v>
      </c>
      <c r="E229" s="4">
        <v>228</v>
      </c>
      <c r="F229" s="4">
        <f>ROUND(Source!AY221,O229)</f>
        <v>202677.26</v>
      </c>
      <c r="G229" s="4" t="s">
        <v>65</v>
      </c>
      <c r="H229" s="4" t="s">
        <v>66</v>
      </c>
      <c r="I229" s="4"/>
      <c r="J229" s="4"/>
      <c r="K229" s="4">
        <v>228</v>
      </c>
      <c r="L229" s="4">
        <v>7</v>
      </c>
      <c r="M229" s="4">
        <v>3</v>
      </c>
      <c r="N229" s="4" t="s">
        <v>3</v>
      </c>
      <c r="O229" s="4">
        <v>2</v>
      </c>
      <c r="P229" s="4"/>
      <c r="Q229" s="4"/>
      <c r="R229" s="4"/>
      <c r="S229" s="4"/>
      <c r="T229" s="4"/>
      <c r="U229" s="4"/>
      <c r="V229" s="4"/>
      <c r="W229" s="4"/>
    </row>
    <row r="230" spans="1:23" x14ac:dyDescent="0.2">
      <c r="A230" s="4">
        <v>50</v>
      </c>
      <c r="B230" s="4">
        <v>0</v>
      </c>
      <c r="C230" s="4">
        <v>0</v>
      </c>
      <c r="D230" s="4">
        <v>1</v>
      </c>
      <c r="E230" s="4">
        <v>216</v>
      </c>
      <c r="F230" s="4">
        <f>ROUND(Source!AP221,O230)</f>
        <v>355271.01</v>
      </c>
      <c r="G230" s="4" t="s">
        <v>67</v>
      </c>
      <c r="H230" s="4" t="s">
        <v>68</v>
      </c>
      <c r="I230" s="4"/>
      <c r="J230" s="4"/>
      <c r="K230" s="4">
        <v>216</v>
      </c>
      <c r="L230" s="4">
        <v>8</v>
      </c>
      <c r="M230" s="4">
        <v>3</v>
      </c>
      <c r="N230" s="4" t="s">
        <v>3</v>
      </c>
      <c r="O230" s="4">
        <v>2</v>
      </c>
      <c r="P230" s="4"/>
      <c r="Q230" s="4"/>
      <c r="R230" s="4"/>
      <c r="S230" s="4"/>
      <c r="T230" s="4"/>
      <c r="U230" s="4"/>
      <c r="V230" s="4"/>
      <c r="W230" s="4"/>
    </row>
    <row r="231" spans="1:23" x14ac:dyDescent="0.2">
      <c r="A231" s="4">
        <v>50</v>
      </c>
      <c r="B231" s="4">
        <v>0</v>
      </c>
      <c r="C231" s="4">
        <v>0</v>
      </c>
      <c r="D231" s="4">
        <v>1</v>
      </c>
      <c r="E231" s="4">
        <v>223</v>
      </c>
      <c r="F231" s="4">
        <f>ROUND(Source!AQ221,O231)</f>
        <v>0</v>
      </c>
      <c r="G231" s="4" t="s">
        <v>69</v>
      </c>
      <c r="H231" s="4" t="s">
        <v>70</v>
      </c>
      <c r="I231" s="4"/>
      <c r="J231" s="4"/>
      <c r="K231" s="4">
        <v>223</v>
      </c>
      <c r="L231" s="4">
        <v>9</v>
      </c>
      <c r="M231" s="4">
        <v>3</v>
      </c>
      <c r="N231" s="4" t="s">
        <v>3</v>
      </c>
      <c r="O231" s="4">
        <v>2</v>
      </c>
      <c r="P231" s="4"/>
      <c r="Q231" s="4"/>
      <c r="R231" s="4"/>
      <c r="S231" s="4"/>
      <c r="T231" s="4"/>
      <c r="U231" s="4"/>
      <c r="V231" s="4"/>
      <c r="W231" s="4"/>
    </row>
    <row r="232" spans="1:23" x14ac:dyDescent="0.2">
      <c r="A232" s="4">
        <v>50</v>
      </c>
      <c r="B232" s="4">
        <v>0</v>
      </c>
      <c r="C232" s="4">
        <v>0</v>
      </c>
      <c r="D232" s="4">
        <v>1</v>
      </c>
      <c r="E232" s="4">
        <v>229</v>
      </c>
      <c r="F232" s="4">
        <f>ROUND(Source!AZ221,O232)</f>
        <v>355271.01</v>
      </c>
      <c r="G232" s="4" t="s">
        <v>71</v>
      </c>
      <c r="H232" s="4" t="s">
        <v>72</v>
      </c>
      <c r="I232" s="4"/>
      <c r="J232" s="4"/>
      <c r="K232" s="4">
        <v>229</v>
      </c>
      <c r="L232" s="4">
        <v>10</v>
      </c>
      <c r="M232" s="4">
        <v>3</v>
      </c>
      <c r="N232" s="4" t="s">
        <v>3</v>
      </c>
      <c r="O232" s="4">
        <v>2</v>
      </c>
      <c r="P232" s="4"/>
      <c r="Q232" s="4"/>
      <c r="R232" s="4"/>
      <c r="S232" s="4"/>
      <c r="T232" s="4"/>
      <c r="U232" s="4"/>
      <c r="V232" s="4"/>
      <c r="W232" s="4"/>
    </row>
    <row r="233" spans="1:23" x14ac:dyDescent="0.2">
      <c r="A233" s="4">
        <v>50</v>
      </c>
      <c r="B233" s="4">
        <v>0</v>
      </c>
      <c r="C233" s="4">
        <v>0</v>
      </c>
      <c r="D233" s="4">
        <v>1</v>
      </c>
      <c r="E233" s="4">
        <v>203</v>
      </c>
      <c r="F233" s="4">
        <f>ROUND(Source!Q221,O233)</f>
        <v>17438.98</v>
      </c>
      <c r="G233" s="4" t="s">
        <v>73</v>
      </c>
      <c r="H233" s="4" t="s">
        <v>74</v>
      </c>
      <c r="I233" s="4"/>
      <c r="J233" s="4"/>
      <c r="K233" s="4">
        <v>203</v>
      </c>
      <c r="L233" s="4">
        <v>11</v>
      </c>
      <c r="M233" s="4">
        <v>3</v>
      </c>
      <c r="N233" s="4" t="s">
        <v>3</v>
      </c>
      <c r="O233" s="4">
        <v>2</v>
      </c>
      <c r="P233" s="4"/>
      <c r="Q233" s="4"/>
      <c r="R233" s="4"/>
      <c r="S233" s="4"/>
      <c r="T233" s="4"/>
      <c r="U233" s="4"/>
      <c r="V233" s="4"/>
      <c r="W233" s="4"/>
    </row>
    <row r="234" spans="1:23" x14ac:dyDescent="0.2">
      <c r="A234" s="4">
        <v>50</v>
      </c>
      <c r="B234" s="4">
        <v>0</v>
      </c>
      <c r="C234" s="4">
        <v>0</v>
      </c>
      <c r="D234" s="4">
        <v>1</v>
      </c>
      <c r="E234" s="4">
        <v>231</v>
      </c>
      <c r="F234" s="4">
        <f>ROUND(Source!BB221,O234)</f>
        <v>0</v>
      </c>
      <c r="G234" s="4" t="s">
        <v>75</v>
      </c>
      <c r="H234" s="4" t="s">
        <v>76</v>
      </c>
      <c r="I234" s="4"/>
      <c r="J234" s="4"/>
      <c r="K234" s="4">
        <v>231</v>
      </c>
      <c r="L234" s="4">
        <v>12</v>
      </c>
      <c r="M234" s="4">
        <v>3</v>
      </c>
      <c r="N234" s="4" t="s">
        <v>3</v>
      </c>
      <c r="O234" s="4">
        <v>2</v>
      </c>
      <c r="P234" s="4"/>
      <c r="Q234" s="4"/>
      <c r="R234" s="4"/>
      <c r="S234" s="4"/>
      <c r="T234" s="4"/>
      <c r="U234" s="4"/>
      <c r="V234" s="4"/>
      <c r="W234" s="4"/>
    </row>
    <row r="235" spans="1:23" x14ac:dyDescent="0.2">
      <c r="A235" s="4">
        <v>50</v>
      </c>
      <c r="B235" s="4">
        <v>0</v>
      </c>
      <c r="C235" s="4">
        <v>0</v>
      </c>
      <c r="D235" s="4">
        <v>1</v>
      </c>
      <c r="E235" s="4">
        <v>204</v>
      </c>
      <c r="F235" s="4">
        <f>ROUND(Source!R221,O235)</f>
        <v>8968.86</v>
      </c>
      <c r="G235" s="4" t="s">
        <v>77</v>
      </c>
      <c r="H235" s="4" t="s">
        <v>78</v>
      </c>
      <c r="I235" s="4"/>
      <c r="J235" s="4"/>
      <c r="K235" s="4">
        <v>204</v>
      </c>
      <c r="L235" s="4">
        <v>13</v>
      </c>
      <c r="M235" s="4">
        <v>3</v>
      </c>
      <c r="N235" s="4" t="s">
        <v>3</v>
      </c>
      <c r="O235" s="4">
        <v>2</v>
      </c>
      <c r="P235" s="4"/>
      <c r="Q235" s="4"/>
      <c r="R235" s="4"/>
      <c r="S235" s="4"/>
      <c r="T235" s="4"/>
      <c r="U235" s="4"/>
      <c r="V235" s="4"/>
      <c r="W235" s="4"/>
    </row>
    <row r="236" spans="1:23" x14ac:dyDescent="0.2">
      <c r="A236" s="4">
        <v>50</v>
      </c>
      <c r="B236" s="4">
        <v>0</v>
      </c>
      <c r="C236" s="4">
        <v>0</v>
      </c>
      <c r="D236" s="4">
        <v>1</v>
      </c>
      <c r="E236" s="4">
        <v>205</v>
      </c>
      <c r="F236" s="4">
        <f>ROUND(Source!S221,O236)</f>
        <v>56799.78</v>
      </c>
      <c r="G236" s="4" t="s">
        <v>79</v>
      </c>
      <c r="H236" s="4" t="s">
        <v>80</v>
      </c>
      <c r="I236" s="4"/>
      <c r="J236" s="4"/>
      <c r="K236" s="4">
        <v>205</v>
      </c>
      <c r="L236" s="4">
        <v>14</v>
      </c>
      <c r="M236" s="4">
        <v>3</v>
      </c>
      <c r="N236" s="4" t="s">
        <v>3</v>
      </c>
      <c r="O236" s="4">
        <v>2</v>
      </c>
      <c r="P236" s="4"/>
      <c r="Q236" s="4"/>
      <c r="R236" s="4"/>
      <c r="S236" s="4"/>
      <c r="T236" s="4"/>
      <c r="U236" s="4"/>
      <c r="V236" s="4"/>
      <c r="W236" s="4"/>
    </row>
    <row r="237" spans="1:23" x14ac:dyDescent="0.2">
      <c r="A237" s="4">
        <v>50</v>
      </c>
      <c r="B237" s="4">
        <v>0</v>
      </c>
      <c r="C237" s="4">
        <v>0</v>
      </c>
      <c r="D237" s="4">
        <v>1</v>
      </c>
      <c r="E237" s="4">
        <v>232</v>
      </c>
      <c r="F237" s="4">
        <f>ROUND(Source!BC221,O237)</f>
        <v>0</v>
      </c>
      <c r="G237" s="4" t="s">
        <v>81</v>
      </c>
      <c r="H237" s="4" t="s">
        <v>82</v>
      </c>
      <c r="I237" s="4"/>
      <c r="J237" s="4"/>
      <c r="K237" s="4">
        <v>232</v>
      </c>
      <c r="L237" s="4">
        <v>15</v>
      </c>
      <c r="M237" s="4">
        <v>3</v>
      </c>
      <c r="N237" s="4" t="s">
        <v>3</v>
      </c>
      <c r="O237" s="4">
        <v>2</v>
      </c>
      <c r="P237" s="4"/>
      <c r="Q237" s="4"/>
      <c r="R237" s="4"/>
      <c r="S237" s="4"/>
      <c r="T237" s="4"/>
      <c r="U237" s="4"/>
      <c r="V237" s="4"/>
      <c r="W237" s="4"/>
    </row>
    <row r="238" spans="1:23" x14ac:dyDescent="0.2">
      <c r="A238" s="4">
        <v>50</v>
      </c>
      <c r="B238" s="4">
        <v>0</v>
      </c>
      <c r="C238" s="4">
        <v>0</v>
      </c>
      <c r="D238" s="4">
        <v>1</v>
      </c>
      <c r="E238" s="4">
        <v>214</v>
      </c>
      <c r="F238" s="4">
        <f>ROUND(Source!AS221,O238)</f>
        <v>195733.57</v>
      </c>
      <c r="G238" s="4" t="s">
        <v>83</v>
      </c>
      <c r="H238" s="4" t="s">
        <v>84</v>
      </c>
      <c r="I238" s="4"/>
      <c r="J238" s="4"/>
      <c r="K238" s="4">
        <v>214</v>
      </c>
      <c r="L238" s="4">
        <v>16</v>
      </c>
      <c r="M238" s="4">
        <v>3</v>
      </c>
      <c r="N238" s="4" t="s">
        <v>3</v>
      </c>
      <c r="O238" s="4">
        <v>2</v>
      </c>
      <c r="P238" s="4"/>
      <c r="Q238" s="4"/>
      <c r="R238" s="4"/>
      <c r="S238" s="4"/>
      <c r="T238" s="4"/>
      <c r="U238" s="4"/>
      <c r="V238" s="4"/>
      <c r="W238" s="4"/>
    </row>
    <row r="239" spans="1:23" x14ac:dyDescent="0.2">
      <c r="A239" s="4">
        <v>50</v>
      </c>
      <c r="B239" s="4">
        <v>0</v>
      </c>
      <c r="C239" s="4">
        <v>0</v>
      </c>
      <c r="D239" s="4">
        <v>1</v>
      </c>
      <c r="E239" s="4">
        <v>215</v>
      </c>
      <c r="F239" s="4">
        <f>ROUND(Source!AT221,O239)</f>
        <v>113488.18</v>
      </c>
      <c r="G239" s="4" t="s">
        <v>85</v>
      </c>
      <c r="H239" s="4" t="s">
        <v>86</v>
      </c>
      <c r="I239" s="4"/>
      <c r="J239" s="4"/>
      <c r="K239" s="4">
        <v>215</v>
      </c>
      <c r="L239" s="4">
        <v>17</v>
      </c>
      <c r="M239" s="4">
        <v>3</v>
      </c>
      <c r="N239" s="4" t="s">
        <v>3</v>
      </c>
      <c r="O239" s="4">
        <v>2</v>
      </c>
      <c r="P239" s="4"/>
      <c r="Q239" s="4"/>
      <c r="R239" s="4"/>
      <c r="S239" s="4"/>
      <c r="T239" s="4"/>
      <c r="U239" s="4"/>
      <c r="V239" s="4"/>
      <c r="W239" s="4"/>
    </row>
    <row r="240" spans="1:23" x14ac:dyDescent="0.2">
      <c r="A240" s="4">
        <v>50</v>
      </c>
      <c r="B240" s="4">
        <v>0</v>
      </c>
      <c r="C240" s="4">
        <v>0</v>
      </c>
      <c r="D240" s="4">
        <v>1</v>
      </c>
      <c r="E240" s="4">
        <v>217</v>
      </c>
      <c r="F240" s="4">
        <f>ROUND(Source!AU221,O240)</f>
        <v>51505.22</v>
      </c>
      <c r="G240" s="4" t="s">
        <v>87</v>
      </c>
      <c r="H240" s="4" t="s">
        <v>88</v>
      </c>
      <c r="I240" s="4"/>
      <c r="J240" s="4"/>
      <c r="K240" s="4">
        <v>217</v>
      </c>
      <c r="L240" s="4">
        <v>18</v>
      </c>
      <c r="M240" s="4">
        <v>3</v>
      </c>
      <c r="N240" s="4" t="s">
        <v>3</v>
      </c>
      <c r="O240" s="4">
        <v>2</v>
      </c>
      <c r="P240" s="4"/>
      <c r="Q240" s="4"/>
      <c r="R240" s="4"/>
      <c r="S240" s="4"/>
      <c r="T240" s="4"/>
      <c r="U240" s="4"/>
      <c r="V240" s="4"/>
      <c r="W240" s="4"/>
    </row>
    <row r="241" spans="1:23" x14ac:dyDescent="0.2">
      <c r="A241" s="4">
        <v>50</v>
      </c>
      <c r="B241" s="4">
        <v>0</v>
      </c>
      <c r="C241" s="4">
        <v>0</v>
      </c>
      <c r="D241" s="4">
        <v>1</v>
      </c>
      <c r="E241" s="4">
        <v>230</v>
      </c>
      <c r="F241" s="4">
        <f>ROUND(Source!BA221,O241)</f>
        <v>0</v>
      </c>
      <c r="G241" s="4" t="s">
        <v>89</v>
      </c>
      <c r="H241" s="4" t="s">
        <v>90</v>
      </c>
      <c r="I241" s="4"/>
      <c r="J241" s="4"/>
      <c r="K241" s="4">
        <v>230</v>
      </c>
      <c r="L241" s="4">
        <v>19</v>
      </c>
      <c r="M241" s="4">
        <v>3</v>
      </c>
      <c r="N241" s="4" t="s">
        <v>3</v>
      </c>
      <c r="O241" s="4">
        <v>2</v>
      </c>
      <c r="P241" s="4"/>
      <c r="Q241" s="4"/>
      <c r="R241" s="4"/>
      <c r="S241" s="4"/>
      <c r="T241" s="4"/>
      <c r="U241" s="4"/>
      <c r="V241" s="4"/>
      <c r="W241" s="4"/>
    </row>
    <row r="242" spans="1:23" x14ac:dyDescent="0.2">
      <c r="A242" s="4">
        <v>50</v>
      </c>
      <c r="B242" s="4">
        <v>0</v>
      </c>
      <c r="C242" s="4">
        <v>0</v>
      </c>
      <c r="D242" s="4">
        <v>1</v>
      </c>
      <c r="E242" s="4">
        <v>206</v>
      </c>
      <c r="F242" s="4">
        <f>ROUND(Source!T221,O242)</f>
        <v>0</v>
      </c>
      <c r="G242" s="4" t="s">
        <v>91</v>
      </c>
      <c r="H242" s="4" t="s">
        <v>92</v>
      </c>
      <c r="I242" s="4"/>
      <c r="J242" s="4"/>
      <c r="K242" s="4">
        <v>206</v>
      </c>
      <c r="L242" s="4">
        <v>20</v>
      </c>
      <c r="M242" s="4">
        <v>3</v>
      </c>
      <c r="N242" s="4" t="s">
        <v>3</v>
      </c>
      <c r="O242" s="4">
        <v>2</v>
      </c>
      <c r="P242" s="4"/>
      <c r="Q242" s="4"/>
      <c r="R242" s="4"/>
      <c r="S242" s="4"/>
      <c r="T242" s="4"/>
      <c r="U242" s="4"/>
      <c r="V242" s="4"/>
      <c r="W242" s="4"/>
    </row>
    <row r="243" spans="1:23" x14ac:dyDescent="0.2">
      <c r="A243" s="4">
        <v>50</v>
      </c>
      <c r="B243" s="4">
        <v>0</v>
      </c>
      <c r="C243" s="4">
        <v>0</v>
      </c>
      <c r="D243" s="4">
        <v>1</v>
      </c>
      <c r="E243" s="4">
        <v>207</v>
      </c>
      <c r="F243" s="4">
        <f>ROUND(Source!U221,O243)</f>
        <v>175.64</v>
      </c>
      <c r="G243" s="4" t="s">
        <v>93</v>
      </c>
      <c r="H243" s="4" t="s">
        <v>94</v>
      </c>
      <c r="I243" s="4"/>
      <c r="J243" s="4"/>
      <c r="K243" s="4">
        <v>207</v>
      </c>
      <c r="L243" s="4">
        <v>21</v>
      </c>
      <c r="M243" s="4">
        <v>3</v>
      </c>
      <c r="N243" s="4" t="s">
        <v>3</v>
      </c>
      <c r="O243" s="4">
        <v>2</v>
      </c>
      <c r="P243" s="4"/>
      <c r="Q243" s="4"/>
      <c r="R243" s="4"/>
      <c r="S243" s="4"/>
      <c r="T243" s="4"/>
      <c r="U243" s="4"/>
      <c r="V243" s="4"/>
      <c r="W243" s="4"/>
    </row>
    <row r="244" spans="1:23" x14ac:dyDescent="0.2">
      <c r="A244" s="4">
        <v>50</v>
      </c>
      <c r="B244" s="4">
        <v>0</v>
      </c>
      <c r="C244" s="4">
        <v>0</v>
      </c>
      <c r="D244" s="4">
        <v>1</v>
      </c>
      <c r="E244" s="4">
        <v>208</v>
      </c>
      <c r="F244" s="4">
        <f>ROUND(Source!V221,O244)</f>
        <v>0</v>
      </c>
      <c r="G244" s="4" t="s">
        <v>95</v>
      </c>
      <c r="H244" s="4" t="s">
        <v>96</v>
      </c>
      <c r="I244" s="4"/>
      <c r="J244" s="4"/>
      <c r="K244" s="4">
        <v>208</v>
      </c>
      <c r="L244" s="4">
        <v>22</v>
      </c>
      <c r="M244" s="4">
        <v>3</v>
      </c>
      <c r="N244" s="4" t="s">
        <v>3</v>
      </c>
      <c r="O244" s="4">
        <v>2</v>
      </c>
      <c r="P244" s="4"/>
      <c r="Q244" s="4"/>
      <c r="R244" s="4"/>
      <c r="S244" s="4"/>
      <c r="T244" s="4"/>
      <c r="U244" s="4"/>
      <c r="V244" s="4"/>
      <c r="W244" s="4"/>
    </row>
    <row r="245" spans="1:23" x14ac:dyDescent="0.2">
      <c r="A245" s="4">
        <v>50</v>
      </c>
      <c r="B245" s="4">
        <v>0</v>
      </c>
      <c r="C245" s="4">
        <v>0</v>
      </c>
      <c r="D245" s="4">
        <v>1</v>
      </c>
      <c r="E245" s="4">
        <v>209</v>
      </c>
      <c r="F245" s="4">
        <f>ROUND(Source!W221,O245)</f>
        <v>0</v>
      </c>
      <c r="G245" s="4" t="s">
        <v>97</v>
      </c>
      <c r="H245" s="4" t="s">
        <v>98</v>
      </c>
      <c r="I245" s="4"/>
      <c r="J245" s="4"/>
      <c r="K245" s="4">
        <v>209</v>
      </c>
      <c r="L245" s="4">
        <v>23</v>
      </c>
      <c r="M245" s="4">
        <v>3</v>
      </c>
      <c r="N245" s="4" t="s">
        <v>3</v>
      </c>
      <c r="O245" s="4">
        <v>2</v>
      </c>
      <c r="P245" s="4"/>
      <c r="Q245" s="4"/>
      <c r="R245" s="4"/>
      <c r="S245" s="4"/>
      <c r="T245" s="4"/>
      <c r="U245" s="4"/>
      <c r="V245" s="4"/>
      <c r="W245" s="4"/>
    </row>
    <row r="246" spans="1:23" x14ac:dyDescent="0.2">
      <c r="A246" s="4">
        <v>50</v>
      </c>
      <c r="B246" s="4">
        <v>0</v>
      </c>
      <c r="C246" s="4">
        <v>0</v>
      </c>
      <c r="D246" s="4">
        <v>1</v>
      </c>
      <c r="E246" s="4">
        <v>233</v>
      </c>
      <c r="F246" s="4">
        <f>ROUND(Source!BD221,O246)</f>
        <v>0</v>
      </c>
      <c r="G246" s="4" t="s">
        <v>99</v>
      </c>
      <c r="H246" s="4" t="s">
        <v>100</v>
      </c>
      <c r="I246" s="4"/>
      <c r="J246" s="4"/>
      <c r="K246" s="4">
        <v>233</v>
      </c>
      <c r="L246" s="4">
        <v>24</v>
      </c>
      <c r="M246" s="4">
        <v>3</v>
      </c>
      <c r="N246" s="4" t="s">
        <v>3</v>
      </c>
      <c r="O246" s="4">
        <v>2</v>
      </c>
      <c r="P246" s="4"/>
      <c r="Q246" s="4"/>
      <c r="R246" s="4"/>
      <c r="S246" s="4"/>
      <c r="T246" s="4"/>
      <c r="U246" s="4"/>
      <c r="V246" s="4"/>
      <c r="W246" s="4"/>
    </row>
    <row r="247" spans="1:23" x14ac:dyDescent="0.2">
      <c r="A247" s="4">
        <v>50</v>
      </c>
      <c r="B247" s="4">
        <v>0</v>
      </c>
      <c r="C247" s="4">
        <v>0</v>
      </c>
      <c r="D247" s="4">
        <v>1</v>
      </c>
      <c r="E247" s="4">
        <v>210</v>
      </c>
      <c r="F247" s="4">
        <f>ROUND(Source!X221,O247)</f>
        <v>45801.89</v>
      </c>
      <c r="G247" s="4" t="s">
        <v>101</v>
      </c>
      <c r="H247" s="4" t="s">
        <v>102</v>
      </c>
      <c r="I247" s="4"/>
      <c r="J247" s="4"/>
      <c r="K247" s="4">
        <v>210</v>
      </c>
      <c r="L247" s="4">
        <v>25</v>
      </c>
      <c r="M247" s="4">
        <v>3</v>
      </c>
      <c r="N247" s="4" t="s">
        <v>3</v>
      </c>
      <c r="O247" s="4">
        <v>2</v>
      </c>
      <c r="P247" s="4"/>
      <c r="Q247" s="4"/>
      <c r="R247" s="4"/>
      <c r="S247" s="4"/>
      <c r="T247" s="4"/>
      <c r="U247" s="4"/>
      <c r="V247" s="4"/>
      <c r="W247" s="4"/>
    </row>
    <row r="248" spans="1:23" x14ac:dyDescent="0.2">
      <c r="A248" s="4">
        <v>50</v>
      </c>
      <c r="B248" s="4">
        <v>0</v>
      </c>
      <c r="C248" s="4">
        <v>0</v>
      </c>
      <c r="D248" s="4">
        <v>1</v>
      </c>
      <c r="E248" s="4">
        <v>211</v>
      </c>
      <c r="F248" s="4">
        <f>ROUND(Source!Y221,O248)</f>
        <v>23927.96</v>
      </c>
      <c r="G248" s="4" t="s">
        <v>103</v>
      </c>
      <c r="H248" s="4" t="s">
        <v>104</v>
      </c>
      <c r="I248" s="4"/>
      <c r="J248" s="4"/>
      <c r="K248" s="4">
        <v>211</v>
      </c>
      <c r="L248" s="4">
        <v>26</v>
      </c>
      <c r="M248" s="4">
        <v>3</v>
      </c>
      <c r="N248" s="4" t="s">
        <v>3</v>
      </c>
      <c r="O248" s="4">
        <v>2</v>
      </c>
      <c r="P248" s="4"/>
      <c r="Q248" s="4"/>
      <c r="R248" s="4"/>
      <c r="S248" s="4"/>
      <c r="T248" s="4"/>
      <c r="U248" s="4"/>
      <c r="V248" s="4"/>
      <c r="W248" s="4"/>
    </row>
    <row r="249" spans="1:23" x14ac:dyDescent="0.2">
      <c r="A249" s="4">
        <v>50</v>
      </c>
      <c r="B249" s="4">
        <v>0</v>
      </c>
      <c r="C249" s="4">
        <v>0</v>
      </c>
      <c r="D249" s="4">
        <v>1</v>
      </c>
      <c r="E249" s="4">
        <v>224</v>
      </c>
      <c r="F249" s="4">
        <f>ROUND(Source!AR221,O249)</f>
        <v>715997.98</v>
      </c>
      <c r="G249" s="4" t="s">
        <v>105</v>
      </c>
      <c r="H249" s="4" t="s">
        <v>106</v>
      </c>
      <c r="I249" s="4"/>
      <c r="J249" s="4"/>
      <c r="K249" s="4">
        <v>224</v>
      </c>
      <c r="L249" s="4">
        <v>27</v>
      </c>
      <c r="M249" s="4">
        <v>3</v>
      </c>
      <c r="N249" s="4" t="s">
        <v>3</v>
      </c>
      <c r="O249" s="4">
        <v>2</v>
      </c>
      <c r="P249" s="4"/>
      <c r="Q249" s="4"/>
      <c r="R249" s="4"/>
      <c r="S249" s="4"/>
      <c r="T249" s="4"/>
      <c r="U249" s="4"/>
      <c r="V249" s="4"/>
      <c r="W249" s="4"/>
    </row>
    <row r="250" spans="1:23" x14ac:dyDescent="0.2">
      <c r="A250" s="4">
        <v>50</v>
      </c>
      <c r="B250" s="4">
        <v>1</v>
      </c>
      <c r="C250" s="4">
        <v>0</v>
      </c>
      <c r="D250" s="4">
        <v>2</v>
      </c>
      <c r="E250" s="4">
        <v>0</v>
      </c>
      <c r="F250" s="4">
        <f>ROUND(F249,O250)</f>
        <v>715997.98</v>
      </c>
      <c r="G250" s="4" t="s">
        <v>4</v>
      </c>
      <c r="H250" s="4" t="s">
        <v>203</v>
      </c>
      <c r="I250" s="4"/>
      <c r="J250" s="4"/>
      <c r="K250" s="4">
        <v>212</v>
      </c>
      <c r="L250" s="4">
        <v>28</v>
      </c>
      <c r="M250" s="4">
        <v>0</v>
      </c>
      <c r="N250" s="4" t="s">
        <v>3</v>
      </c>
      <c r="O250" s="4">
        <v>2</v>
      </c>
      <c r="P250" s="4"/>
      <c r="Q250" s="4"/>
      <c r="R250" s="4"/>
      <c r="S250" s="4"/>
      <c r="T250" s="4"/>
      <c r="U250" s="4"/>
      <c r="V250" s="4"/>
      <c r="W250" s="4"/>
    </row>
    <row r="251" spans="1:23" x14ac:dyDescent="0.2">
      <c r="A251" s="4">
        <v>50</v>
      </c>
      <c r="B251" s="4">
        <v>1</v>
      </c>
      <c r="C251" s="4">
        <v>0</v>
      </c>
      <c r="D251" s="4">
        <v>2</v>
      </c>
      <c r="E251" s="4">
        <v>0</v>
      </c>
      <c r="F251" s="4">
        <f>ROUND(F187*0.015,O251)</f>
        <v>752.05</v>
      </c>
      <c r="G251" s="4" t="s">
        <v>25</v>
      </c>
      <c r="H251" s="4" t="s">
        <v>204</v>
      </c>
      <c r="I251" s="4"/>
      <c r="J251" s="4"/>
      <c r="K251" s="4">
        <v>212</v>
      </c>
      <c r="L251" s="4">
        <v>29</v>
      </c>
      <c r="M251" s="4">
        <v>0</v>
      </c>
      <c r="N251" s="4" t="s">
        <v>3</v>
      </c>
      <c r="O251" s="4">
        <v>2</v>
      </c>
      <c r="P251" s="4"/>
      <c r="Q251" s="4"/>
      <c r="R251" s="4"/>
      <c r="S251" s="4"/>
      <c r="T251" s="4"/>
      <c r="U251" s="4"/>
      <c r="V251" s="4"/>
      <c r="W251" s="4"/>
    </row>
    <row r="252" spans="1:23" x14ac:dyDescent="0.2">
      <c r="A252" s="4">
        <v>50</v>
      </c>
      <c r="B252" s="4">
        <v>1</v>
      </c>
      <c r="C252" s="4">
        <v>0</v>
      </c>
      <c r="D252" s="4">
        <v>2</v>
      </c>
      <c r="E252" s="4">
        <v>0</v>
      </c>
      <c r="F252" s="4">
        <f>ROUND(F250+F251,O252)</f>
        <v>716750.03</v>
      </c>
      <c r="G252" s="4" t="s">
        <v>31</v>
      </c>
      <c r="H252" s="4" t="s">
        <v>205</v>
      </c>
      <c r="I252" s="4"/>
      <c r="J252" s="4"/>
      <c r="K252" s="4">
        <v>212</v>
      </c>
      <c r="L252" s="4">
        <v>30</v>
      </c>
      <c r="M252" s="4">
        <v>0</v>
      </c>
      <c r="N252" s="4" t="s">
        <v>3</v>
      </c>
      <c r="O252" s="4">
        <v>2</v>
      </c>
      <c r="P252" s="4"/>
      <c r="Q252" s="4"/>
      <c r="R252" s="4"/>
      <c r="S252" s="4"/>
      <c r="T252" s="4"/>
      <c r="U252" s="4"/>
      <c r="V252" s="4"/>
      <c r="W252" s="4"/>
    </row>
    <row r="253" spans="1:23" x14ac:dyDescent="0.2">
      <c r="A253" s="4">
        <v>50</v>
      </c>
      <c r="B253" s="4">
        <v>1</v>
      </c>
      <c r="C253" s="4">
        <v>0</v>
      </c>
      <c r="D253" s="4">
        <v>2</v>
      </c>
      <c r="E253" s="4">
        <v>0</v>
      </c>
      <c r="F253" s="4">
        <f>F252*0.2</f>
        <v>143350.00600000002</v>
      </c>
      <c r="G253" s="4" t="s">
        <v>108</v>
      </c>
      <c r="H253" s="4" t="s">
        <v>206</v>
      </c>
      <c r="I253" s="4"/>
      <c r="J253" s="4"/>
      <c r="K253" s="4">
        <v>212</v>
      </c>
      <c r="L253" s="4">
        <v>33</v>
      </c>
      <c r="M253" s="4">
        <v>0</v>
      </c>
      <c r="N253" s="4" t="s">
        <v>3</v>
      </c>
      <c r="O253" s="4">
        <v>-1</v>
      </c>
      <c r="P253" s="4"/>
      <c r="Q253" s="4"/>
      <c r="R253" s="4"/>
      <c r="S253" s="4"/>
      <c r="T253" s="4"/>
      <c r="U253" s="4"/>
      <c r="V253" s="4"/>
      <c r="W253" s="4"/>
    </row>
    <row r="254" spans="1:23" x14ac:dyDescent="0.2">
      <c r="A254" s="4">
        <v>50</v>
      </c>
      <c r="B254" s="4">
        <v>1</v>
      </c>
      <c r="C254" s="4">
        <v>0</v>
      </c>
      <c r="D254" s="4">
        <v>2</v>
      </c>
      <c r="E254" s="4">
        <v>213</v>
      </c>
      <c r="F254" s="4">
        <f>ROUND(F252+F253,O254)</f>
        <v>860100.04</v>
      </c>
      <c r="G254" s="4" t="s">
        <v>116</v>
      </c>
      <c r="H254" s="4" t="s">
        <v>207</v>
      </c>
      <c r="I254" s="4"/>
      <c r="J254" s="4"/>
      <c r="K254" s="4">
        <v>212</v>
      </c>
      <c r="L254" s="4">
        <v>34</v>
      </c>
      <c r="M254" s="4">
        <v>0</v>
      </c>
      <c r="N254" s="4" t="s">
        <v>3</v>
      </c>
      <c r="O254" s="4">
        <v>2</v>
      </c>
      <c r="P254" s="4"/>
      <c r="Q254" s="4"/>
      <c r="R254" s="4"/>
      <c r="S254" s="4"/>
      <c r="T254" s="4"/>
      <c r="U254" s="4"/>
      <c r="V254" s="4"/>
      <c r="W254" s="4"/>
    </row>
    <row r="257" spans="1:27" x14ac:dyDescent="0.2">
      <c r="A257">
        <v>-1</v>
      </c>
    </row>
    <row r="259" spans="1:27" x14ac:dyDescent="0.2">
      <c r="A259" s="3">
        <v>75</v>
      </c>
      <c r="B259" s="3" t="s">
        <v>208</v>
      </c>
      <c r="C259" s="3">
        <v>2020</v>
      </c>
      <c r="D259" s="3">
        <v>0</v>
      </c>
      <c r="E259" s="3">
        <v>8</v>
      </c>
      <c r="F259" s="3"/>
      <c r="G259" s="3">
        <v>0</v>
      </c>
      <c r="H259" s="3">
        <v>2</v>
      </c>
      <c r="I259" s="3">
        <v>1</v>
      </c>
      <c r="J259" s="3">
        <v>1</v>
      </c>
      <c r="K259" s="3">
        <v>93</v>
      </c>
      <c r="L259" s="3">
        <v>64</v>
      </c>
      <c r="M259" s="3">
        <v>0</v>
      </c>
      <c r="N259" s="3">
        <v>36226623</v>
      </c>
      <c r="O259" s="3">
        <v>1</v>
      </c>
    </row>
    <row r="260" spans="1:27" x14ac:dyDescent="0.2">
      <c r="A260" s="6">
        <v>1</v>
      </c>
      <c r="B260" s="6" t="s">
        <v>209</v>
      </c>
      <c r="C260" s="6" t="s">
        <v>210</v>
      </c>
      <c r="D260" s="6">
        <v>2020</v>
      </c>
      <c r="E260" s="6">
        <v>8</v>
      </c>
      <c r="F260" s="6">
        <v>1</v>
      </c>
      <c r="G260" s="6">
        <v>1</v>
      </c>
      <c r="H260" s="6">
        <v>0</v>
      </c>
      <c r="I260" s="6">
        <v>2</v>
      </c>
      <c r="J260" s="6">
        <v>1</v>
      </c>
      <c r="K260" s="6">
        <v>5.58</v>
      </c>
      <c r="L260" s="6">
        <v>4.5599999999999996</v>
      </c>
      <c r="M260" s="6">
        <v>1</v>
      </c>
      <c r="N260" s="6">
        <v>1</v>
      </c>
      <c r="O260" s="6">
        <v>5.58</v>
      </c>
      <c r="P260" s="6">
        <v>4.5599999999999996</v>
      </c>
      <c r="Q260" s="6">
        <v>1</v>
      </c>
      <c r="R260" s="6" t="s">
        <v>3</v>
      </c>
      <c r="S260" s="6" t="s">
        <v>3</v>
      </c>
      <c r="T260" s="6" t="s">
        <v>3</v>
      </c>
      <c r="U260" s="6" t="s">
        <v>3</v>
      </c>
      <c r="V260" s="6" t="s">
        <v>3</v>
      </c>
      <c r="W260" s="6" t="s">
        <v>3</v>
      </c>
      <c r="X260" s="6" t="s">
        <v>3</v>
      </c>
      <c r="Y260" s="6" t="s">
        <v>3</v>
      </c>
      <c r="Z260" s="6" t="s">
        <v>125</v>
      </c>
      <c r="AA260" s="6" t="s">
        <v>211</v>
      </c>
    </row>
    <row r="264" spans="1:27" x14ac:dyDescent="0.2">
      <c r="A264">
        <v>65</v>
      </c>
      <c r="C264">
        <v>1</v>
      </c>
      <c r="D264">
        <v>0</v>
      </c>
      <c r="E264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C57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212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22054</v>
      </c>
      <c r="M1">
        <v>10</v>
      </c>
      <c r="N1">
        <v>11</v>
      </c>
      <c r="O1">
        <v>0</v>
      </c>
      <c r="P1">
        <v>0</v>
      </c>
      <c r="Q1">
        <v>6</v>
      </c>
    </row>
    <row r="12" spans="1:133" x14ac:dyDescent="0.2">
      <c r="A12" s="1">
        <v>1</v>
      </c>
      <c r="B12" s="1">
        <v>56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157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36226623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4</v>
      </c>
      <c r="D16" s="7" t="s">
        <v>12</v>
      </c>
      <c r="E16" s="8">
        <f>(Source!F206)/1000</f>
        <v>195.73357000000001</v>
      </c>
      <c r="F16" s="8">
        <f>(Source!F207)/1000</f>
        <v>113.48818</v>
      </c>
      <c r="G16" s="8">
        <f>(Source!F198)/1000</f>
        <v>355.27100999999999</v>
      </c>
      <c r="H16" s="8">
        <f>(Source!F208)/1000+(Source!F209)/1000</f>
        <v>51.505220000000001</v>
      </c>
      <c r="I16" s="8">
        <f>E16+F16+G16+H16</f>
        <v>715.9979800000001</v>
      </c>
      <c r="J16" s="8">
        <f>(Source!F204)/1000</f>
        <v>56.799779999999998</v>
      </c>
      <c r="AI16" s="7">
        <v>0</v>
      </c>
      <c r="AJ16" s="7">
        <v>4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632187.03</v>
      </c>
      <c r="AU16" s="8">
        <v>557948.27</v>
      </c>
      <c r="AW16" s="8">
        <v>355271.01</v>
      </c>
      <c r="AX16" s="8">
        <v>0</v>
      </c>
      <c r="AY16" s="8">
        <v>17438.98</v>
      </c>
      <c r="AZ16" s="8">
        <v>8968.86</v>
      </c>
      <c r="BA16" s="8">
        <v>56799.78</v>
      </c>
      <c r="BB16" s="8">
        <v>195733.57</v>
      </c>
      <c r="BC16" s="8">
        <v>113488.18</v>
      </c>
      <c r="BD16" s="8">
        <v>51505.22</v>
      </c>
      <c r="BE16" s="8">
        <v>0</v>
      </c>
      <c r="BF16" s="8">
        <v>175.64</v>
      </c>
      <c r="BG16" s="8">
        <v>0</v>
      </c>
      <c r="BH16" s="8">
        <v>0</v>
      </c>
      <c r="BI16" s="8">
        <v>45801.89</v>
      </c>
      <c r="BJ16" s="8">
        <v>23927.96</v>
      </c>
      <c r="BK16" s="8">
        <v>715997.98</v>
      </c>
    </row>
    <row r="18" spans="1:19" x14ac:dyDescent="0.2">
      <c r="A18">
        <v>51</v>
      </c>
      <c r="E18" s="5">
        <f>SUMIF(A16:A17,3,E16:E17)</f>
        <v>195.73357000000001</v>
      </c>
      <c r="F18" s="5">
        <f>SUMIF(A16:A17,3,F16:F17)</f>
        <v>113.48818</v>
      </c>
      <c r="G18" s="5">
        <f>SUMIF(A16:A17,3,G16:G17)</f>
        <v>355.27100999999999</v>
      </c>
      <c r="H18" s="5">
        <f>SUMIF(A16:A17,3,H16:H17)</f>
        <v>51.505220000000001</v>
      </c>
      <c r="I18" s="5">
        <f>SUMIF(A16:A17,3,I16:I17)</f>
        <v>715.9979800000001</v>
      </c>
      <c r="J18" s="5">
        <f>SUMIF(A16:A17,3,J16:J17)</f>
        <v>56.799779999999998</v>
      </c>
      <c r="K18" s="5"/>
      <c r="L18" s="5"/>
      <c r="M18" s="5"/>
      <c r="N18" s="5"/>
      <c r="O18" s="5"/>
      <c r="P18" s="5"/>
      <c r="Q18" s="5"/>
      <c r="R18" s="5"/>
      <c r="S18" s="5"/>
    </row>
    <row r="20" spans="1:19" x14ac:dyDescent="0.2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632187.03</v>
      </c>
      <c r="G20" s="4" t="s">
        <v>53</v>
      </c>
      <c r="H20" s="4" t="s">
        <v>54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 x14ac:dyDescent="0.2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557948.27</v>
      </c>
      <c r="G21" s="4" t="s">
        <v>55</v>
      </c>
      <c r="H21" s="4" t="s">
        <v>56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 x14ac:dyDescent="0.2">
      <c r="A22" s="4">
        <v>50</v>
      </c>
      <c r="B22" s="4">
        <v>0</v>
      </c>
      <c r="C22" s="4">
        <v>0</v>
      </c>
      <c r="D22" s="4">
        <v>1</v>
      </c>
      <c r="E22" s="4">
        <v>31509382</v>
      </c>
      <c r="F22" s="4">
        <v>0</v>
      </c>
      <c r="G22" s="4" t="s">
        <v>57</v>
      </c>
      <c r="H22" s="4" t="s">
        <v>58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 x14ac:dyDescent="0.2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557948.27</v>
      </c>
      <c r="G23" s="4" t="s">
        <v>59</v>
      </c>
      <c r="H23" s="4" t="s">
        <v>60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 x14ac:dyDescent="0.2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202677.26</v>
      </c>
      <c r="G24" s="4" t="s">
        <v>61</v>
      </c>
      <c r="H24" s="4" t="s">
        <v>62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 x14ac:dyDescent="0.2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63</v>
      </c>
      <c r="H25" s="4" t="s">
        <v>64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 x14ac:dyDescent="0.2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202677.26</v>
      </c>
      <c r="G26" s="4" t="s">
        <v>65</v>
      </c>
      <c r="H26" s="4" t="s">
        <v>66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 x14ac:dyDescent="0.2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355271.01</v>
      </c>
      <c r="G27" s="4" t="s">
        <v>67</v>
      </c>
      <c r="H27" s="4" t="s">
        <v>68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 x14ac:dyDescent="0.2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69</v>
      </c>
      <c r="H28" s="4" t="s">
        <v>70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 x14ac:dyDescent="0.2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355271.01</v>
      </c>
      <c r="G29" s="4" t="s">
        <v>71</v>
      </c>
      <c r="H29" s="4" t="s">
        <v>72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 x14ac:dyDescent="0.2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17438.98</v>
      </c>
      <c r="G30" s="4" t="s">
        <v>73</v>
      </c>
      <c r="H30" s="4" t="s">
        <v>74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75</v>
      </c>
      <c r="H31" s="4" t="s">
        <v>76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2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8968.86</v>
      </c>
      <c r="G32" s="4" t="s">
        <v>77</v>
      </c>
      <c r="H32" s="4" t="s">
        <v>78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x14ac:dyDescent="0.2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56799.78</v>
      </c>
      <c r="G33" s="4" t="s">
        <v>79</v>
      </c>
      <c r="H33" s="4" t="s">
        <v>80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81</v>
      </c>
      <c r="H34" s="4" t="s">
        <v>82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2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195733.57</v>
      </c>
      <c r="G35" s="4" t="s">
        <v>83</v>
      </c>
      <c r="H35" s="4" t="s">
        <v>84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x14ac:dyDescent="0.2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113488.18</v>
      </c>
      <c r="G36" s="4" t="s">
        <v>85</v>
      </c>
      <c r="H36" s="4" t="s">
        <v>86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x14ac:dyDescent="0.2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51505.22</v>
      </c>
      <c r="G37" s="4" t="s">
        <v>87</v>
      </c>
      <c r="H37" s="4" t="s">
        <v>88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x14ac:dyDescent="0.2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89</v>
      </c>
      <c r="H38" s="4" t="s">
        <v>90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2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91</v>
      </c>
      <c r="H39" s="4" t="s">
        <v>92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x14ac:dyDescent="0.2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175.64</v>
      </c>
      <c r="G40" s="4" t="s">
        <v>93</v>
      </c>
      <c r="H40" s="4" t="s">
        <v>94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2</v>
      </c>
      <c r="P40" s="4"/>
    </row>
    <row r="41" spans="1:16" x14ac:dyDescent="0.2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0</v>
      </c>
      <c r="G41" s="4" t="s">
        <v>95</v>
      </c>
      <c r="H41" s="4" t="s">
        <v>96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2</v>
      </c>
      <c r="P41" s="4"/>
    </row>
    <row r="42" spans="1:16" x14ac:dyDescent="0.2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97</v>
      </c>
      <c r="H42" s="4" t="s">
        <v>98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x14ac:dyDescent="0.2">
      <c r="A43" s="4">
        <v>50</v>
      </c>
      <c r="B43" s="4">
        <v>0</v>
      </c>
      <c r="C43" s="4">
        <v>0</v>
      </c>
      <c r="D43" s="4">
        <v>1</v>
      </c>
      <c r="E43" s="4">
        <v>233</v>
      </c>
      <c r="F43" s="4">
        <v>0</v>
      </c>
      <c r="G43" s="4" t="s">
        <v>99</v>
      </c>
      <c r="H43" s="4" t="s">
        <v>100</v>
      </c>
      <c r="I43" s="4"/>
      <c r="J43" s="4"/>
      <c r="K43" s="4">
        <v>233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x14ac:dyDescent="0.2">
      <c r="A44" s="4">
        <v>50</v>
      </c>
      <c r="B44" s="4">
        <v>0</v>
      </c>
      <c r="C44" s="4">
        <v>0</v>
      </c>
      <c r="D44" s="4">
        <v>1</v>
      </c>
      <c r="E44" s="4">
        <v>210</v>
      </c>
      <c r="F44" s="4">
        <v>45801.89</v>
      </c>
      <c r="G44" s="4" t="s">
        <v>101</v>
      </c>
      <c r="H44" s="4" t="s">
        <v>102</v>
      </c>
      <c r="I44" s="4"/>
      <c r="J44" s="4"/>
      <c r="K44" s="4">
        <v>210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x14ac:dyDescent="0.2">
      <c r="A45" s="4">
        <v>50</v>
      </c>
      <c r="B45" s="4">
        <v>0</v>
      </c>
      <c r="C45" s="4">
        <v>0</v>
      </c>
      <c r="D45" s="4">
        <v>1</v>
      </c>
      <c r="E45" s="4">
        <v>211</v>
      </c>
      <c r="F45" s="4">
        <v>23927.96</v>
      </c>
      <c r="G45" s="4" t="s">
        <v>103</v>
      </c>
      <c r="H45" s="4" t="s">
        <v>104</v>
      </c>
      <c r="I45" s="4"/>
      <c r="J45" s="4"/>
      <c r="K45" s="4">
        <v>211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 x14ac:dyDescent="0.2">
      <c r="A46" s="4">
        <v>50</v>
      </c>
      <c r="B46" s="4">
        <v>0</v>
      </c>
      <c r="C46" s="4">
        <v>0</v>
      </c>
      <c r="D46" s="4">
        <v>1</v>
      </c>
      <c r="E46" s="4">
        <v>224</v>
      </c>
      <c r="F46" s="4">
        <v>715997.98</v>
      </c>
      <c r="G46" s="4" t="s">
        <v>105</v>
      </c>
      <c r="H46" s="4" t="s">
        <v>106</v>
      </c>
      <c r="I46" s="4"/>
      <c r="J46" s="4"/>
      <c r="K46" s="4">
        <v>224</v>
      </c>
      <c r="L46" s="4">
        <v>27</v>
      </c>
      <c r="M46" s="4">
        <v>3</v>
      </c>
      <c r="N46" s="4" t="s">
        <v>3</v>
      </c>
      <c r="O46" s="4">
        <v>2</v>
      </c>
      <c r="P46" s="4"/>
    </row>
    <row r="47" spans="1:16" x14ac:dyDescent="0.2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715997.98</v>
      </c>
      <c r="G47" s="4" t="s">
        <v>4</v>
      </c>
      <c r="H47" s="4" t="s">
        <v>203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2</v>
      </c>
      <c r="P47" s="4"/>
    </row>
    <row r="48" spans="1:16" x14ac:dyDescent="0.2">
      <c r="A48" s="4">
        <v>50</v>
      </c>
      <c r="B48" s="4">
        <v>1</v>
      </c>
      <c r="C48" s="4">
        <v>0</v>
      </c>
      <c r="D48" s="4">
        <v>2</v>
      </c>
      <c r="E48" s="4">
        <v>0</v>
      </c>
      <c r="F48" s="4">
        <v>752.05</v>
      </c>
      <c r="G48" s="4" t="s">
        <v>25</v>
      </c>
      <c r="H48" s="4" t="s">
        <v>204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2</v>
      </c>
      <c r="P48" s="4"/>
    </row>
    <row r="49" spans="1:27" x14ac:dyDescent="0.2">
      <c r="A49" s="4">
        <v>50</v>
      </c>
      <c r="B49" s="4">
        <v>1</v>
      </c>
      <c r="C49" s="4">
        <v>0</v>
      </c>
      <c r="D49" s="4">
        <v>2</v>
      </c>
      <c r="E49" s="4">
        <v>0</v>
      </c>
      <c r="F49" s="4">
        <v>716750.03</v>
      </c>
      <c r="G49" s="4" t="s">
        <v>31</v>
      </c>
      <c r="H49" s="4" t="s">
        <v>205</v>
      </c>
      <c r="I49" s="4"/>
      <c r="J49" s="4"/>
      <c r="K49" s="4">
        <v>212</v>
      </c>
      <c r="L49" s="4">
        <v>30</v>
      </c>
      <c r="M49" s="4">
        <v>0</v>
      </c>
      <c r="N49" s="4" t="s">
        <v>3</v>
      </c>
      <c r="O49" s="4">
        <v>2</v>
      </c>
      <c r="P49" s="4"/>
    </row>
    <row r="50" spans="1:27" x14ac:dyDescent="0.2">
      <c r="A50" s="4">
        <v>50</v>
      </c>
      <c r="B50" s="4">
        <v>1</v>
      </c>
      <c r="C50" s="4">
        <v>0</v>
      </c>
      <c r="D50" s="4">
        <v>2</v>
      </c>
      <c r="E50" s="4">
        <v>0</v>
      </c>
      <c r="F50" s="4">
        <v>143350.00599999999</v>
      </c>
      <c r="G50" s="4" t="s">
        <v>108</v>
      </c>
      <c r="H50" s="4" t="s">
        <v>206</v>
      </c>
      <c r="I50" s="4"/>
      <c r="J50" s="4"/>
      <c r="K50" s="4">
        <v>212</v>
      </c>
      <c r="L50" s="4">
        <v>33</v>
      </c>
      <c r="M50" s="4">
        <v>0</v>
      </c>
      <c r="N50" s="4" t="s">
        <v>3</v>
      </c>
      <c r="O50" s="4">
        <v>-1</v>
      </c>
      <c r="P50" s="4"/>
    </row>
    <row r="51" spans="1:27" x14ac:dyDescent="0.2">
      <c r="A51" s="4">
        <v>50</v>
      </c>
      <c r="B51" s="4">
        <v>1</v>
      </c>
      <c r="C51" s="4">
        <v>0</v>
      </c>
      <c r="D51" s="4">
        <v>2</v>
      </c>
      <c r="E51" s="4">
        <v>213</v>
      </c>
      <c r="F51" s="4">
        <v>860100.04</v>
      </c>
      <c r="G51" s="4" t="s">
        <v>116</v>
      </c>
      <c r="H51" s="4" t="s">
        <v>207</v>
      </c>
      <c r="I51" s="4"/>
      <c r="J51" s="4"/>
      <c r="K51" s="4">
        <v>212</v>
      </c>
      <c r="L51" s="4">
        <v>34</v>
      </c>
      <c r="M51" s="4">
        <v>0</v>
      </c>
      <c r="N51" s="4" t="s">
        <v>3</v>
      </c>
      <c r="O51" s="4">
        <v>2</v>
      </c>
      <c r="P51" s="4"/>
    </row>
    <row r="53" spans="1:27" x14ac:dyDescent="0.2">
      <c r="A53">
        <v>-1</v>
      </c>
    </row>
    <row r="56" spans="1:27" x14ac:dyDescent="0.2">
      <c r="A56" s="3">
        <v>75</v>
      </c>
      <c r="B56" s="3" t="s">
        <v>208</v>
      </c>
      <c r="C56" s="3">
        <v>2020</v>
      </c>
      <c r="D56" s="3">
        <v>0</v>
      </c>
      <c r="E56" s="3">
        <v>8</v>
      </c>
      <c r="F56" s="3"/>
      <c r="G56" s="3">
        <v>0</v>
      </c>
      <c r="H56" s="3">
        <v>2</v>
      </c>
      <c r="I56" s="3">
        <v>1</v>
      </c>
      <c r="J56" s="3">
        <v>1</v>
      </c>
      <c r="K56" s="3">
        <v>93</v>
      </c>
      <c r="L56" s="3">
        <v>64</v>
      </c>
      <c r="M56" s="3">
        <v>0</v>
      </c>
      <c r="N56" s="3">
        <v>36226623</v>
      </c>
      <c r="O56" s="3">
        <v>1</v>
      </c>
    </row>
    <row r="57" spans="1:27" x14ac:dyDescent="0.2">
      <c r="A57" s="6">
        <v>1</v>
      </c>
      <c r="B57" s="6" t="s">
        <v>209</v>
      </c>
      <c r="C57" s="6" t="s">
        <v>210</v>
      </c>
      <c r="D57" s="6">
        <v>2020</v>
      </c>
      <c r="E57" s="6">
        <v>8</v>
      </c>
      <c r="F57" s="6">
        <v>1</v>
      </c>
      <c r="G57" s="6">
        <v>1</v>
      </c>
      <c r="H57" s="6">
        <v>0</v>
      </c>
      <c r="I57" s="6">
        <v>2</v>
      </c>
      <c r="J57" s="6">
        <v>1</v>
      </c>
      <c r="K57" s="6">
        <v>5.58</v>
      </c>
      <c r="L57" s="6">
        <v>4.5599999999999996</v>
      </c>
      <c r="M57" s="6">
        <v>1</v>
      </c>
      <c r="N57" s="6">
        <v>1</v>
      </c>
      <c r="O57" s="6">
        <v>5.58</v>
      </c>
      <c r="P57" s="6">
        <v>4.5599999999999996</v>
      </c>
      <c r="Q57" s="6">
        <v>1</v>
      </c>
      <c r="R57" s="6" t="s">
        <v>3</v>
      </c>
      <c r="S57" s="6" t="s">
        <v>3</v>
      </c>
      <c r="T57" s="6" t="s">
        <v>3</v>
      </c>
      <c r="U57" s="6" t="s">
        <v>3</v>
      </c>
      <c r="V57" s="6" t="s">
        <v>3</v>
      </c>
      <c r="W57" s="6" t="s">
        <v>3</v>
      </c>
      <c r="X57" s="6" t="s">
        <v>3</v>
      </c>
      <c r="Y57" s="6" t="s">
        <v>3</v>
      </c>
      <c r="Z57" s="6" t="s">
        <v>125</v>
      </c>
      <c r="AA57" s="6" t="s">
        <v>211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C27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7" x14ac:dyDescent="0.2">
      <c r="A1">
        <f>ROW(Source!A29)</f>
        <v>29</v>
      </c>
      <c r="B1">
        <v>36226623</v>
      </c>
      <c r="C1">
        <v>36227440</v>
      </c>
      <c r="D1">
        <v>30393407</v>
      </c>
      <c r="E1">
        <v>13</v>
      </c>
      <c r="F1">
        <v>1</v>
      </c>
      <c r="G1">
        <v>13</v>
      </c>
      <c r="H1">
        <v>1</v>
      </c>
      <c r="I1" t="s">
        <v>213</v>
      </c>
      <c r="J1" t="s">
        <v>3</v>
      </c>
      <c r="K1" t="s">
        <v>214</v>
      </c>
      <c r="L1">
        <v>1191</v>
      </c>
      <c r="N1">
        <v>1013</v>
      </c>
      <c r="O1" t="s">
        <v>215</v>
      </c>
      <c r="P1" t="s">
        <v>215</v>
      </c>
      <c r="Q1">
        <v>1</v>
      </c>
      <c r="W1">
        <v>0</v>
      </c>
      <c r="X1">
        <v>476480486</v>
      </c>
      <c r="Y1">
        <v>0.68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0.85</v>
      </c>
      <c r="AU1" t="s">
        <v>21</v>
      </c>
      <c r="AV1">
        <v>1</v>
      </c>
      <c r="AW1">
        <v>2</v>
      </c>
      <c r="AX1">
        <v>36227447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Y1*Source!I29</f>
        <v>1.36</v>
      </c>
      <c r="CY1">
        <f>AD1</f>
        <v>0</v>
      </c>
      <c r="CZ1">
        <f>AH1</f>
        <v>0</v>
      </c>
      <c r="DA1">
        <f>AL1</f>
        <v>1</v>
      </c>
      <c r="DB1">
        <f>ROUND((ROUND(AT1*CZ1,2)*0.8),2)</f>
        <v>0</v>
      </c>
      <c r="DC1">
        <f>ROUND((ROUND(AT1*AG1,2)*0.8),2)</f>
        <v>0</v>
      </c>
    </row>
    <row r="2" spans="1:107" x14ac:dyDescent="0.2">
      <c r="A2">
        <f>ROW(Source!A29)</f>
        <v>29</v>
      </c>
      <c r="B2">
        <v>36226623</v>
      </c>
      <c r="C2">
        <v>36227440</v>
      </c>
      <c r="D2">
        <v>30418464</v>
      </c>
      <c r="E2">
        <v>1</v>
      </c>
      <c r="F2">
        <v>1</v>
      </c>
      <c r="G2">
        <v>13</v>
      </c>
      <c r="H2">
        <v>2</v>
      </c>
      <c r="I2" t="s">
        <v>216</v>
      </c>
      <c r="J2" t="s">
        <v>217</v>
      </c>
      <c r="K2" t="s">
        <v>218</v>
      </c>
      <c r="L2">
        <v>1367</v>
      </c>
      <c r="N2">
        <v>1011</v>
      </c>
      <c r="O2" t="s">
        <v>219</v>
      </c>
      <c r="P2" t="s">
        <v>219</v>
      </c>
      <c r="Q2">
        <v>1</v>
      </c>
      <c r="W2">
        <v>0</v>
      </c>
      <c r="X2">
        <v>-668768829</v>
      </c>
      <c r="Y2">
        <v>0.16000000000000003</v>
      </c>
      <c r="AA2">
        <v>0</v>
      </c>
      <c r="AB2">
        <v>488.92</v>
      </c>
      <c r="AC2">
        <v>338.17</v>
      </c>
      <c r="AD2">
        <v>0</v>
      </c>
      <c r="AE2">
        <v>0</v>
      </c>
      <c r="AF2">
        <v>41.62</v>
      </c>
      <c r="AG2">
        <v>13.33</v>
      </c>
      <c r="AH2">
        <v>0</v>
      </c>
      <c r="AI2">
        <v>1</v>
      </c>
      <c r="AJ2">
        <v>11.22</v>
      </c>
      <c r="AK2">
        <v>24.23</v>
      </c>
      <c r="AL2">
        <v>1</v>
      </c>
      <c r="AN2">
        <v>0</v>
      </c>
      <c r="AO2">
        <v>1</v>
      </c>
      <c r="AP2">
        <v>1</v>
      </c>
      <c r="AQ2">
        <v>0</v>
      </c>
      <c r="AR2">
        <v>0</v>
      </c>
      <c r="AS2" t="s">
        <v>3</v>
      </c>
      <c r="AT2">
        <v>0.2</v>
      </c>
      <c r="AU2" t="s">
        <v>21</v>
      </c>
      <c r="AV2">
        <v>0</v>
      </c>
      <c r="AW2">
        <v>2</v>
      </c>
      <c r="AX2">
        <v>36227448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Y2*Source!I29</f>
        <v>0.32000000000000006</v>
      </c>
      <c r="CY2">
        <f>AB2</f>
        <v>488.92</v>
      </c>
      <c r="CZ2">
        <f>AF2</f>
        <v>41.62</v>
      </c>
      <c r="DA2">
        <f>AJ2</f>
        <v>11.22</v>
      </c>
      <c r="DB2">
        <f>ROUND((ROUND(AT2*CZ2,2)*0.8),2)</f>
        <v>6.66</v>
      </c>
      <c r="DC2">
        <f>ROUND((ROUND(AT2*AG2,2)*0.8),2)</f>
        <v>2.14</v>
      </c>
    </row>
    <row r="3" spans="1:107" x14ac:dyDescent="0.2">
      <c r="A3">
        <f>ROW(Source!A29)</f>
        <v>29</v>
      </c>
      <c r="B3">
        <v>36226623</v>
      </c>
      <c r="C3">
        <v>36227440</v>
      </c>
      <c r="D3">
        <v>30418888</v>
      </c>
      <c r="E3">
        <v>1</v>
      </c>
      <c r="F3">
        <v>1</v>
      </c>
      <c r="G3">
        <v>13</v>
      </c>
      <c r="H3">
        <v>2</v>
      </c>
      <c r="I3" t="s">
        <v>220</v>
      </c>
      <c r="J3" t="s">
        <v>221</v>
      </c>
      <c r="K3" t="s">
        <v>222</v>
      </c>
      <c r="L3">
        <v>1367</v>
      </c>
      <c r="N3">
        <v>1011</v>
      </c>
      <c r="O3" t="s">
        <v>219</v>
      </c>
      <c r="P3" t="s">
        <v>219</v>
      </c>
      <c r="Q3">
        <v>1</v>
      </c>
      <c r="W3">
        <v>0</v>
      </c>
      <c r="X3">
        <v>1280158331</v>
      </c>
      <c r="Y3">
        <v>0.32000000000000006</v>
      </c>
      <c r="AA3">
        <v>0</v>
      </c>
      <c r="AB3">
        <v>3.85</v>
      </c>
      <c r="AC3">
        <v>2.2799999999999998</v>
      </c>
      <c r="AD3">
        <v>0</v>
      </c>
      <c r="AE3">
        <v>0</v>
      </c>
      <c r="AF3">
        <v>0.56000000000000005</v>
      </c>
      <c r="AG3">
        <v>0.09</v>
      </c>
      <c r="AH3">
        <v>0</v>
      </c>
      <c r="AI3">
        <v>1</v>
      </c>
      <c r="AJ3">
        <v>6.57</v>
      </c>
      <c r="AK3">
        <v>24.23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3</v>
      </c>
      <c r="AT3">
        <v>0.4</v>
      </c>
      <c r="AU3" t="s">
        <v>21</v>
      </c>
      <c r="AV3">
        <v>0</v>
      </c>
      <c r="AW3">
        <v>2</v>
      </c>
      <c r="AX3">
        <v>36227449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Y3*Source!I29</f>
        <v>0.64000000000000012</v>
      </c>
      <c r="CY3">
        <f>AB3</f>
        <v>3.85</v>
      </c>
      <c r="CZ3">
        <f>AF3</f>
        <v>0.56000000000000005</v>
      </c>
      <c r="DA3">
        <f>AJ3</f>
        <v>6.57</v>
      </c>
      <c r="DB3">
        <f>ROUND((ROUND(AT3*CZ3,2)*0.8),2)</f>
        <v>0.18</v>
      </c>
      <c r="DC3">
        <f>ROUND((ROUND(AT3*AG3,2)*0.8),2)</f>
        <v>0.03</v>
      </c>
    </row>
    <row r="4" spans="1:107" x14ac:dyDescent="0.2">
      <c r="A4">
        <f>ROW(Source!A29)</f>
        <v>29</v>
      </c>
      <c r="B4">
        <v>36226623</v>
      </c>
      <c r="C4">
        <v>36227440</v>
      </c>
      <c r="D4">
        <v>30418176</v>
      </c>
      <c r="E4">
        <v>1</v>
      </c>
      <c r="F4">
        <v>1</v>
      </c>
      <c r="G4">
        <v>13</v>
      </c>
      <c r="H4">
        <v>2</v>
      </c>
      <c r="I4" t="s">
        <v>223</v>
      </c>
      <c r="J4" t="s">
        <v>224</v>
      </c>
      <c r="K4" t="s">
        <v>225</v>
      </c>
      <c r="L4">
        <v>1367</v>
      </c>
      <c r="N4">
        <v>1011</v>
      </c>
      <c r="O4" t="s">
        <v>219</v>
      </c>
      <c r="P4" t="s">
        <v>219</v>
      </c>
      <c r="Q4">
        <v>1</v>
      </c>
      <c r="W4">
        <v>0</v>
      </c>
      <c r="X4">
        <v>1022351366</v>
      </c>
      <c r="Y4">
        <v>5.6000000000000008E-2</v>
      </c>
      <c r="AA4">
        <v>0</v>
      </c>
      <c r="AB4">
        <v>1222.6199999999999</v>
      </c>
      <c r="AC4">
        <v>487.08</v>
      </c>
      <c r="AD4">
        <v>0</v>
      </c>
      <c r="AE4">
        <v>0</v>
      </c>
      <c r="AF4">
        <v>106.74</v>
      </c>
      <c r="AG4">
        <v>19.2</v>
      </c>
      <c r="AH4">
        <v>0</v>
      </c>
      <c r="AI4">
        <v>1</v>
      </c>
      <c r="AJ4">
        <v>10.94</v>
      </c>
      <c r="AK4">
        <v>24.23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3</v>
      </c>
      <c r="AT4">
        <v>7.0000000000000007E-2</v>
      </c>
      <c r="AU4" t="s">
        <v>21</v>
      </c>
      <c r="AV4">
        <v>0</v>
      </c>
      <c r="AW4">
        <v>2</v>
      </c>
      <c r="AX4">
        <v>36227450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Y4*Source!I29</f>
        <v>0.11200000000000002</v>
      </c>
      <c r="CY4">
        <f>AB4</f>
        <v>1222.6199999999999</v>
      </c>
      <c r="CZ4">
        <f>AF4</f>
        <v>106.74</v>
      </c>
      <c r="DA4">
        <f>AJ4</f>
        <v>10.94</v>
      </c>
      <c r="DB4">
        <f>ROUND((ROUND(AT4*CZ4,2)*0.8),2)</f>
        <v>5.98</v>
      </c>
      <c r="DC4">
        <f>ROUND((ROUND(AT4*AG4,2)*0.8),2)</f>
        <v>1.07</v>
      </c>
    </row>
    <row r="5" spans="1:107" x14ac:dyDescent="0.2">
      <c r="A5">
        <f>ROW(Source!A29)</f>
        <v>29</v>
      </c>
      <c r="B5">
        <v>36226623</v>
      </c>
      <c r="C5">
        <v>36227440</v>
      </c>
      <c r="D5">
        <v>31103248</v>
      </c>
      <c r="E5">
        <v>1</v>
      </c>
      <c r="F5">
        <v>1</v>
      </c>
      <c r="G5">
        <v>13</v>
      </c>
      <c r="H5">
        <v>3</v>
      </c>
      <c r="I5" t="s">
        <v>226</v>
      </c>
      <c r="J5" t="s">
        <v>227</v>
      </c>
      <c r="K5" t="s">
        <v>228</v>
      </c>
      <c r="L5">
        <v>1339</v>
      </c>
      <c r="N5">
        <v>1007</v>
      </c>
      <c r="O5" t="s">
        <v>29</v>
      </c>
      <c r="P5" t="s">
        <v>29</v>
      </c>
      <c r="Q5">
        <v>1</v>
      </c>
      <c r="W5">
        <v>0</v>
      </c>
      <c r="X5">
        <v>-862991314</v>
      </c>
      <c r="Y5">
        <v>0</v>
      </c>
      <c r="AA5">
        <v>35.39</v>
      </c>
      <c r="AB5">
        <v>0</v>
      </c>
      <c r="AC5">
        <v>0</v>
      </c>
      <c r="AD5">
        <v>0</v>
      </c>
      <c r="AE5">
        <v>7.07</v>
      </c>
      <c r="AF5">
        <v>0</v>
      </c>
      <c r="AG5">
        <v>0</v>
      </c>
      <c r="AH5">
        <v>0</v>
      </c>
      <c r="AI5">
        <v>4.99</v>
      </c>
      <c r="AJ5">
        <v>1</v>
      </c>
      <c r="AK5">
        <v>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3</v>
      </c>
      <c r="AT5">
        <v>0.15</v>
      </c>
      <c r="AU5" t="s">
        <v>20</v>
      </c>
      <c r="AV5">
        <v>0</v>
      </c>
      <c r="AW5">
        <v>2</v>
      </c>
      <c r="AX5">
        <v>36227451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Y5*Source!I29</f>
        <v>0</v>
      </c>
      <c r="CY5">
        <f>AA5</f>
        <v>35.39</v>
      </c>
      <c r="CZ5">
        <f>AE5</f>
        <v>7.07</v>
      </c>
      <c r="DA5">
        <f>AI5</f>
        <v>4.99</v>
      </c>
      <c r="DB5">
        <f>ROUND((ROUND(AT5*CZ5,2)*0),2)</f>
        <v>0</v>
      </c>
      <c r="DC5">
        <f>ROUND((ROUND(AT5*AG5,2)*0),2)</f>
        <v>0</v>
      </c>
    </row>
    <row r="6" spans="1:107" x14ac:dyDescent="0.2">
      <c r="A6">
        <f>ROW(Source!A30)</f>
        <v>30</v>
      </c>
      <c r="B6">
        <v>36226623</v>
      </c>
      <c r="C6">
        <v>36227430</v>
      </c>
      <c r="D6">
        <v>30393407</v>
      </c>
      <c r="E6">
        <v>13</v>
      </c>
      <c r="F6">
        <v>1</v>
      </c>
      <c r="G6">
        <v>13</v>
      </c>
      <c r="H6">
        <v>1</v>
      </c>
      <c r="I6" t="s">
        <v>213</v>
      </c>
      <c r="J6" t="s">
        <v>3</v>
      </c>
      <c r="K6" t="s">
        <v>214</v>
      </c>
      <c r="L6">
        <v>1191</v>
      </c>
      <c r="N6">
        <v>1013</v>
      </c>
      <c r="O6" t="s">
        <v>215</v>
      </c>
      <c r="P6" t="s">
        <v>215</v>
      </c>
      <c r="Q6">
        <v>1</v>
      </c>
      <c r="W6">
        <v>0</v>
      </c>
      <c r="X6">
        <v>476480486</v>
      </c>
      <c r="Y6">
        <v>0.85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0.85</v>
      </c>
      <c r="AU6" t="s">
        <v>3</v>
      </c>
      <c r="AV6">
        <v>1</v>
      </c>
      <c r="AW6">
        <v>2</v>
      </c>
      <c r="AX6">
        <v>36227431</v>
      </c>
      <c r="AY6">
        <v>1</v>
      </c>
      <c r="AZ6">
        <v>0</v>
      </c>
      <c r="BA6">
        <v>7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Y6*Source!I30</f>
        <v>1.7</v>
      </c>
      <c r="CY6">
        <f>AD6</f>
        <v>0</v>
      </c>
      <c r="CZ6">
        <f>AH6</f>
        <v>0</v>
      </c>
      <c r="DA6">
        <f>AL6</f>
        <v>1</v>
      </c>
      <c r="DB6">
        <f t="shared" ref="DB6:DB23" si="0">ROUND(ROUND(AT6*CZ6,2),2)</f>
        <v>0</v>
      </c>
      <c r="DC6">
        <f t="shared" ref="DC6:DC23" si="1">ROUND(ROUND(AT6*AG6,2),2)</f>
        <v>0</v>
      </c>
    </row>
    <row r="7" spans="1:107" x14ac:dyDescent="0.2">
      <c r="A7">
        <f>ROW(Source!A30)</f>
        <v>30</v>
      </c>
      <c r="B7">
        <v>36226623</v>
      </c>
      <c r="C7">
        <v>36227430</v>
      </c>
      <c r="D7">
        <v>30418464</v>
      </c>
      <c r="E7">
        <v>1</v>
      </c>
      <c r="F7">
        <v>1</v>
      </c>
      <c r="G7">
        <v>13</v>
      </c>
      <c r="H7">
        <v>2</v>
      </c>
      <c r="I7" t="s">
        <v>216</v>
      </c>
      <c r="J7" t="s">
        <v>217</v>
      </c>
      <c r="K7" t="s">
        <v>218</v>
      </c>
      <c r="L7">
        <v>1367</v>
      </c>
      <c r="N7">
        <v>1011</v>
      </c>
      <c r="O7" t="s">
        <v>219</v>
      </c>
      <c r="P7" t="s">
        <v>219</v>
      </c>
      <c r="Q7">
        <v>1</v>
      </c>
      <c r="W7">
        <v>0</v>
      </c>
      <c r="X7">
        <v>-668768829</v>
      </c>
      <c r="Y7">
        <v>0.2</v>
      </c>
      <c r="AA7">
        <v>0</v>
      </c>
      <c r="AB7">
        <v>488.92</v>
      </c>
      <c r="AC7">
        <v>338.17</v>
      </c>
      <c r="AD7">
        <v>0</v>
      </c>
      <c r="AE7">
        <v>0</v>
      </c>
      <c r="AF7">
        <v>41.62</v>
      </c>
      <c r="AG7">
        <v>13.33</v>
      </c>
      <c r="AH7">
        <v>0</v>
      </c>
      <c r="AI7">
        <v>1</v>
      </c>
      <c r="AJ7">
        <v>11.22</v>
      </c>
      <c r="AK7">
        <v>24.23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0.2</v>
      </c>
      <c r="AU7" t="s">
        <v>3</v>
      </c>
      <c r="AV7">
        <v>0</v>
      </c>
      <c r="AW7">
        <v>2</v>
      </c>
      <c r="AX7">
        <v>36227432</v>
      </c>
      <c r="AY7">
        <v>1</v>
      </c>
      <c r="AZ7">
        <v>0</v>
      </c>
      <c r="BA7">
        <v>8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Y7*Source!I30</f>
        <v>0.4</v>
      </c>
      <c r="CY7">
        <f>AB7</f>
        <v>488.92</v>
      </c>
      <c r="CZ7">
        <f>AF7</f>
        <v>41.62</v>
      </c>
      <c r="DA7">
        <f>AJ7</f>
        <v>11.22</v>
      </c>
      <c r="DB7">
        <f t="shared" si="0"/>
        <v>8.32</v>
      </c>
      <c r="DC7">
        <f t="shared" si="1"/>
        <v>2.67</v>
      </c>
    </row>
    <row r="8" spans="1:107" x14ac:dyDescent="0.2">
      <c r="A8">
        <f>ROW(Source!A30)</f>
        <v>30</v>
      </c>
      <c r="B8">
        <v>36226623</v>
      </c>
      <c r="C8">
        <v>36227430</v>
      </c>
      <c r="D8">
        <v>30418888</v>
      </c>
      <c r="E8">
        <v>1</v>
      </c>
      <c r="F8">
        <v>1</v>
      </c>
      <c r="G8">
        <v>13</v>
      </c>
      <c r="H8">
        <v>2</v>
      </c>
      <c r="I8" t="s">
        <v>220</v>
      </c>
      <c r="J8" t="s">
        <v>221</v>
      </c>
      <c r="K8" t="s">
        <v>222</v>
      </c>
      <c r="L8">
        <v>1367</v>
      </c>
      <c r="N8">
        <v>1011</v>
      </c>
      <c r="O8" t="s">
        <v>219</v>
      </c>
      <c r="P8" t="s">
        <v>219</v>
      </c>
      <c r="Q8">
        <v>1</v>
      </c>
      <c r="W8">
        <v>0</v>
      </c>
      <c r="X8">
        <v>1280158331</v>
      </c>
      <c r="Y8">
        <v>0.4</v>
      </c>
      <c r="AA8">
        <v>0</v>
      </c>
      <c r="AB8">
        <v>3.85</v>
      </c>
      <c r="AC8">
        <v>2.2799999999999998</v>
      </c>
      <c r="AD8">
        <v>0</v>
      </c>
      <c r="AE8">
        <v>0</v>
      </c>
      <c r="AF8">
        <v>0.56000000000000005</v>
      </c>
      <c r="AG8">
        <v>0.09</v>
      </c>
      <c r="AH8">
        <v>0</v>
      </c>
      <c r="AI8">
        <v>1</v>
      </c>
      <c r="AJ8">
        <v>6.57</v>
      </c>
      <c r="AK8">
        <v>24.23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0.4</v>
      </c>
      <c r="AU8" t="s">
        <v>3</v>
      </c>
      <c r="AV8">
        <v>0</v>
      </c>
      <c r="AW8">
        <v>2</v>
      </c>
      <c r="AX8">
        <v>36227433</v>
      </c>
      <c r="AY8">
        <v>1</v>
      </c>
      <c r="AZ8">
        <v>0</v>
      </c>
      <c r="BA8">
        <v>9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Y8*Source!I30</f>
        <v>0.8</v>
      </c>
      <c r="CY8">
        <f>AB8</f>
        <v>3.85</v>
      </c>
      <c r="CZ8">
        <f>AF8</f>
        <v>0.56000000000000005</v>
      </c>
      <c r="DA8">
        <f>AJ8</f>
        <v>6.57</v>
      </c>
      <c r="DB8">
        <f t="shared" si="0"/>
        <v>0.22</v>
      </c>
      <c r="DC8">
        <f t="shared" si="1"/>
        <v>0.04</v>
      </c>
    </row>
    <row r="9" spans="1:107" x14ac:dyDescent="0.2">
      <c r="A9">
        <f>ROW(Source!A30)</f>
        <v>30</v>
      </c>
      <c r="B9">
        <v>36226623</v>
      </c>
      <c r="C9">
        <v>36227430</v>
      </c>
      <c r="D9">
        <v>30418176</v>
      </c>
      <c r="E9">
        <v>1</v>
      </c>
      <c r="F9">
        <v>1</v>
      </c>
      <c r="G9">
        <v>13</v>
      </c>
      <c r="H9">
        <v>2</v>
      </c>
      <c r="I9" t="s">
        <v>223</v>
      </c>
      <c r="J9" t="s">
        <v>224</v>
      </c>
      <c r="K9" t="s">
        <v>225</v>
      </c>
      <c r="L9">
        <v>1367</v>
      </c>
      <c r="N9">
        <v>1011</v>
      </c>
      <c r="O9" t="s">
        <v>219</v>
      </c>
      <c r="P9" t="s">
        <v>219</v>
      </c>
      <c r="Q9">
        <v>1</v>
      </c>
      <c r="W9">
        <v>0</v>
      </c>
      <c r="X9">
        <v>1022351366</v>
      </c>
      <c r="Y9">
        <v>7.0000000000000007E-2</v>
      </c>
      <c r="AA9">
        <v>0</v>
      </c>
      <c r="AB9">
        <v>1222.6199999999999</v>
      </c>
      <c r="AC9">
        <v>487.08</v>
      </c>
      <c r="AD9">
        <v>0</v>
      </c>
      <c r="AE9">
        <v>0</v>
      </c>
      <c r="AF9">
        <v>106.74</v>
      </c>
      <c r="AG9">
        <v>19.2</v>
      </c>
      <c r="AH9">
        <v>0</v>
      </c>
      <c r="AI9">
        <v>1</v>
      </c>
      <c r="AJ9">
        <v>10.94</v>
      </c>
      <c r="AK9">
        <v>24.23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7.0000000000000007E-2</v>
      </c>
      <c r="AU9" t="s">
        <v>3</v>
      </c>
      <c r="AV9">
        <v>0</v>
      </c>
      <c r="AW9">
        <v>2</v>
      </c>
      <c r="AX9">
        <v>36227434</v>
      </c>
      <c r="AY9">
        <v>1</v>
      </c>
      <c r="AZ9">
        <v>0</v>
      </c>
      <c r="BA9">
        <v>10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Y9*Source!I30</f>
        <v>0.14000000000000001</v>
      </c>
      <c r="CY9">
        <f>AB9</f>
        <v>1222.6199999999999</v>
      </c>
      <c r="CZ9">
        <f>AF9</f>
        <v>106.74</v>
      </c>
      <c r="DA9">
        <f>AJ9</f>
        <v>10.94</v>
      </c>
      <c r="DB9">
        <f t="shared" si="0"/>
        <v>7.47</v>
      </c>
      <c r="DC9">
        <f t="shared" si="1"/>
        <v>1.34</v>
      </c>
    </row>
    <row r="10" spans="1:107" x14ac:dyDescent="0.2">
      <c r="A10">
        <f>ROW(Source!A30)</f>
        <v>30</v>
      </c>
      <c r="B10">
        <v>36226623</v>
      </c>
      <c r="C10">
        <v>36227430</v>
      </c>
      <c r="D10">
        <v>31103248</v>
      </c>
      <c r="E10">
        <v>1</v>
      </c>
      <c r="F10">
        <v>1</v>
      </c>
      <c r="G10">
        <v>13</v>
      </c>
      <c r="H10">
        <v>3</v>
      </c>
      <c r="I10" t="s">
        <v>226</v>
      </c>
      <c r="J10" t="s">
        <v>227</v>
      </c>
      <c r="K10" t="s">
        <v>228</v>
      </c>
      <c r="L10">
        <v>1339</v>
      </c>
      <c r="N10">
        <v>1007</v>
      </c>
      <c r="O10" t="s">
        <v>29</v>
      </c>
      <c r="P10" t="s">
        <v>29</v>
      </c>
      <c r="Q10">
        <v>1</v>
      </c>
      <c r="W10">
        <v>0</v>
      </c>
      <c r="X10">
        <v>-862991314</v>
      </c>
      <c r="Y10">
        <v>0.15</v>
      </c>
      <c r="AA10">
        <v>35.39</v>
      </c>
      <c r="AB10">
        <v>0</v>
      </c>
      <c r="AC10">
        <v>0</v>
      </c>
      <c r="AD10">
        <v>0</v>
      </c>
      <c r="AE10">
        <v>7.07</v>
      </c>
      <c r="AF10">
        <v>0</v>
      </c>
      <c r="AG10">
        <v>0</v>
      </c>
      <c r="AH10">
        <v>0</v>
      </c>
      <c r="AI10">
        <v>4.99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0.15</v>
      </c>
      <c r="AU10" t="s">
        <v>3</v>
      </c>
      <c r="AV10">
        <v>0</v>
      </c>
      <c r="AW10">
        <v>2</v>
      </c>
      <c r="AX10">
        <v>36227435</v>
      </c>
      <c r="AY10">
        <v>1</v>
      </c>
      <c r="AZ10">
        <v>0</v>
      </c>
      <c r="BA10">
        <v>11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Y10*Source!I30</f>
        <v>0.3</v>
      </c>
      <c r="CY10">
        <f>AA10</f>
        <v>35.39</v>
      </c>
      <c r="CZ10">
        <f>AE10</f>
        <v>7.07</v>
      </c>
      <c r="DA10">
        <f>AI10</f>
        <v>4.99</v>
      </c>
      <c r="DB10">
        <f t="shared" si="0"/>
        <v>1.06</v>
      </c>
      <c r="DC10">
        <f t="shared" si="1"/>
        <v>0</v>
      </c>
    </row>
    <row r="11" spans="1:107" x14ac:dyDescent="0.2">
      <c r="A11">
        <f>ROW(Source!A30)</f>
        <v>30</v>
      </c>
      <c r="B11">
        <v>36226623</v>
      </c>
      <c r="C11">
        <v>36227430</v>
      </c>
      <c r="D11">
        <v>31103283</v>
      </c>
      <c r="E11">
        <v>1</v>
      </c>
      <c r="F11">
        <v>1</v>
      </c>
      <c r="G11">
        <v>13</v>
      </c>
      <c r="H11">
        <v>3</v>
      </c>
      <c r="I11" t="s">
        <v>27</v>
      </c>
      <c r="J11" t="s">
        <v>30</v>
      </c>
      <c r="K11" t="s">
        <v>28</v>
      </c>
      <c r="L11">
        <v>1339</v>
      </c>
      <c r="N11">
        <v>1007</v>
      </c>
      <c r="O11" t="s">
        <v>29</v>
      </c>
      <c r="P11" t="s">
        <v>29</v>
      </c>
      <c r="Q11">
        <v>1</v>
      </c>
      <c r="W11">
        <v>0</v>
      </c>
      <c r="X11">
        <v>-711068409</v>
      </c>
      <c r="Y11">
        <v>1.1499999999999999</v>
      </c>
      <c r="AA11">
        <v>1728.56</v>
      </c>
      <c r="AB11">
        <v>0</v>
      </c>
      <c r="AC11">
        <v>0</v>
      </c>
      <c r="AD11">
        <v>0</v>
      </c>
      <c r="AE11">
        <v>157.1</v>
      </c>
      <c r="AF11">
        <v>0</v>
      </c>
      <c r="AG11">
        <v>0</v>
      </c>
      <c r="AH11">
        <v>0</v>
      </c>
      <c r="AI11">
        <v>10.97</v>
      </c>
      <c r="AJ11">
        <v>1</v>
      </c>
      <c r="AK11">
        <v>1</v>
      </c>
      <c r="AL11">
        <v>1</v>
      </c>
      <c r="AN11">
        <v>0</v>
      </c>
      <c r="AO11">
        <v>0</v>
      </c>
      <c r="AP11">
        <v>0</v>
      </c>
      <c r="AQ11">
        <v>0</v>
      </c>
      <c r="AR11">
        <v>0</v>
      </c>
      <c r="AS11" t="s">
        <v>3</v>
      </c>
      <c r="AT11">
        <v>1.1499999999999999</v>
      </c>
      <c r="AU11" t="s">
        <v>3</v>
      </c>
      <c r="AV11">
        <v>0</v>
      </c>
      <c r="AW11">
        <v>1</v>
      </c>
      <c r="AX11">
        <v>-1</v>
      </c>
      <c r="AY11">
        <v>0</v>
      </c>
      <c r="AZ11">
        <v>0</v>
      </c>
      <c r="BA11" t="s">
        <v>3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Y11*Source!I30</f>
        <v>2.2999999999999998</v>
      </c>
      <c r="CY11">
        <f>AA11</f>
        <v>1728.56</v>
      </c>
      <c r="CZ11">
        <f>AE11</f>
        <v>157.1</v>
      </c>
      <c r="DA11">
        <f>AI11</f>
        <v>10.97</v>
      </c>
      <c r="DB11">
        <f t="shared" si="0"/>
        <v>180.67</v>
      </c>
      <c r="DC11">
        <f t="shared" si="1"/>
        <v>0</v>
      </c>
    </row>
    <row r="12" spans="1:107" x14ac:dyDescent="0.2">
      <c r="A12">
        <f>ROW(Source!A32)</f>
        <v>32</v>
      </c>
      <c r="B12">
        <v>36226623</v>
      </c>
      <c r="C12">
        <v>36227539</v>
      </c>
      <c r="D12">
        <v>30393405</v>
      </c>
      <c r="E12">
        <v>13</v>
      </c>
      <c r="F12">
        <v>1</v>
      </c>
      <c r="G12">
        <v>13</v>
      </c>
      <c r="H12">
        <v>2</v>
      </c>
      <c r="I12" t="s">
        <v>229</v>
      </c>
      <c r="J12" t="s">
        <v>3</v>
      </c>
      <c r="K12" t="s">
        <v>230</v>
      </c>
      <c r="L12">
        <v>1344</v>
      </c>
      <c r="N12">
        <v>1008</v>
      </c>
      <c r="O12" t="s">
        <v>231</v>
      </c>
      <c r="P12" t="s">
        <v>231</v>
      </c>
      <c r="Q12">
        <v>1</v>
      </c>
      <c r="W12">
        <v>0</v>
      </c>
      <c r="X12">
        <v>-1180195794</v>
      </c>
      <c r="Y12">
        <v>8.86</v>
      </c>
      <c r="AA12">
        <v>0</v>
      </c>
      <c r="AB12">
        <v>1.05</v>
      </c>
      <c r="AC12">
        <v>0</v>
      </c>
      <c r="AD12">
        <v>0</v>
      </c>
      <c r="AE12">
        <v>0</v>
      </c>
      <c r="AF12">
        <v>1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8.86</v>
      </c>
      <c r="AU12" t="s">
        <v>3</v>
      </c>
      <c r="AV12">
        <v>0</v>
      </c>
      <c r="AW12">
        <v>2</v>
      </c>
      <c r="AX12">
        <v>36227540</v>
      </c>
      <c r="AY12">
        <v>1</v>
      </c>
      <c r="AZ12">
        <v>0</v>
      </c>
      <c r="BA12">
        <v>13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Y12*Source!I32</f>
        <v>25.339599999999997</v>
      </c>
      <c r="CY12">
        <f>AB12</f>
        <v>1.05</v>
      </c>
      <c r="CZ12">
        <f>AF12</f>
        <v>1</v>
      </c>
      <c r="DA12">
        <f>AJ12</f>
        <v>1</v>
      </c>
      <c r="DB12">
        <f t="shared" si="0"/>
        <v>8.86</v>
      </c>
      <c r="DC12">
        <f t="shared" si="1"/>
        <v>0</v>
      </c>
    </row>
    <row r="13" spans="1:107" x14ac:dyDescent="0.2">
      <c r="A13">
        <f>ROW(Source!A33)</f>
        <v>33</v>
      </c>
      <c r="B13">
        <v>36226623</v>
      </c>
      <c r="C13">
        <v>36227498</v>
      </c>
      <c r="D13">
        <v>30418874</v>
      </c>
      <c r="E13">
        <v>1</v>
      </c>
      <c r="F13">
        <v>1</v>
      </c>
      <c r="G13">
        <v>13</v>
      </c>
      <c r="H13">
        <v>2</v>
      </c>
      <c r="I13" t="s">
        <v>232</v>
      </c>
      <c r="J13" t="s">
        <v>233</v>
      </c>
      <c r="K13" t="s">
        <v>234</v>
      </c>
      <c r="L13">
        <v>1367</v>
      </c>
      <c r="N13">
        <v>1011</v>
      </c>
      <c r="O13" t="s">
        <v>219</v>
      </c>
      <c r="P13" t="s">
        <v>219</v>
      </c>
      <c r="Q13">
        <v>1</v>
      </c>
      <c r="W13">
        <v>0</v>
      </c>
      <c r="X13">
        <v>-1897129346</v>
      </c>
      <c r="Y13">
        <v>1</v>
      </c>
      <c r="AA13">
        <v>0</v>
      </c>
      <c r="AB13">
        <v>1364.29</v>
      </c>
      <c r="AC13">
        <v>409.97</v>
      </c>
      <c r="AD13">
        <v>0</v>
      </c>
      <c r="AE13">
        <v>0</v>
      </c>
      <c r="AF13">
        <v>162.03</v>
      </c>
      <c r="AG13">
        <v>16.920000000000002</v>
      </c>
      <c r="AH13">
        <v>0</v>
      </c>
      <c r="AI13">
        <v>1</v>
      </c>
      <c r="AJ13">
        <v>8.42</v>
      </c>
      <c r="AK13">
        <v>24.23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1</v>
      </c>
      <c r="AU13" t="s">
        <v>3</v>
      </c>
      <c r="AV13">
        <v>0</v>
      </c>
      <c r="AW13">
        <v>2</v>
      </c>
      <c r="AX13">
        <v>36227504</v>
      </c>
      <c r="AY13">
        <v>1</v>
      </c>
      <c r="AZ13">
        <v>0</v>
      </c>
      <c r="BA13">
        <v>14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Y13*Source!I33</f>
        <v>2.86</v>
      </c>
      <c r="CY13">
        <f>AB13</f>
        <v>1364.29</v>
      </c>
      <c r="CZ13">
        <f>AF13</f>
        <v>162.03</v>
      </c>
      <c r="DA13">
        <f>AJ13</f>
        <v>8.42</v>
      </c>
      <c r="DB13">
        <f t="shared" si="0"/>
        <v>162.03</v>
      </c>
      <c r="DC13">
        <f t="shared" si="1"/>
        <v>16.920000000000002</v>
      </c>
    </row>
    <row r="14" spans="1:107" x14ac:dyDescent="0.2">
      <c r="A14">
        <f>ROW(Source!A34)</f>
        <v>34</v>
      </c>
      <c r="B14">
        <v>36226623</v>
      </c>
      <c r="C14">
        <v>36227501</v>
      </c>
      <c r="D14">
        <v>30393405</v>
      </c>
      <c r="E14">
        <v>13</v>
      </c>
      <c r="F14">
        <v>1</v>
      </c>
      <c r="G14">
        <v>13</v>
      </c>
      <c r="H14">
        <v>2</v>
      </c>
      <c r="I14" t="s">
        <v>229</v>
      </c>
      <c r="J14" t="s">
        <v>3</v>
      </c>
      <c r="K14" t="s">
        <v>230</v>
      </c>
      <c r="L14">
        <v>1344</v>
      </c>
      <c r="N14">
        <v>1008</v>
      </c>
      <c r="O14" t="s">
        <v>231</v>
      </c>
      <c r="P14" t="s">
        <v>231</v>
      </c>
      <c r="Q14">
        <v>1</v>
      </c>
      <c r="W14">
        <v>0</v>
      </c>
      <c r="X14">
        <v>-1180195794</v>
      </c>
      <c r="Y14">
        <v>12.61</v>
      </c>
      <c r="AA14">
        <v>0</v>
      </c>
      <c r="AB14">
        <v>1</v>
      </c>
      <c r="AC14">
        <v>0</v>
      </c>
      <c r="AD14">
        <v>0</v>
      </c>
      <c r="AE14">
        <v>0</v>
      </c>
      <c r="AF14">
        <v>1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12.61</v>
      </c>
      <c r="AU14" t="s">
        <v>3</v>
      </c>
      <c r="AV14">
        <v>0</v>
      </c>
      <c r="AW14">
        <v>2</v>
      </c>
      <c r="AX14">
        <v>36227503</v>
      </c>
      <c r="AY14">
        <v>1</v>
      </c>
      <c r="AZ14">
        <v>0</v>
      </c>
      <c r="BA14">
        <v>15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Y14*Source!I34</f>
        <v>36.064599999999999</v>
      </c>
      <c r="CY14">
        <f>AB14</f>
        <v>1</v>
      </c>
      <c r="CZ14">
        <f>AF14</f>
        <v>1</v>
      </c>
      <c r="DA14">
        <f>AJ14</f>
        <v>1</v>
      </c>
      <c r="DB14">
        <f t="shared" si="0"/>
        <v>12.61</v>
      </c>
      <c r="DC14">
        <f t="shared" si="1"/>
        <v>0</v>
      </c>
    </row>
    <row r="15" spans="1:107" x14ac:dyDescent="0.2">
      <c r="A15">
        <f>ROW(Source!A70)</f>
        <v>70</v>
      </c>
      <c r="B15">
        <v>36226623</v>
      </c>
      <c r="C15">
        <v>36227010</v>
      </c>
      <c r="D15">
        <v>30393407</v>
      </c>
      <c r="E15">
        <v>13</v>
      </c>
      <c r="F15">
        <v>1</v>
      </c>
      <c r="G15">
        <v>13</v>
      </c>
      <c r="H15">
        <v>1</v>
      </c>
      <c r="I15" t="s">
        <v>213</v>
      </c>
      <c r="J15" t="s">
        <v>3</v>
      </c>
      <c r="K15" t="s">
        <v>214</v>
      </c>
      <c r="L15">
        <v>1191</v>
      </c>
      <c r="N15">
        <v>1013</v>
      </c>
      <c r="O15" t="s">
        <v>215</v>
      </c>
      <c r="P15" t="s">
        <v>215</v>
      </c>
      <c r="Q15">
        <v>1</v>
      </c>
      <c r="W15">
        <v>0</v>
      </c>
      <c r="X15">
        <v>476480486</v>
      </c>
      <c r="Y15">
        <v>40.799999999999997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40.799999999999997</v>
      </c>
      <c r="AU15" t="s">
        <v>3</v>
      </c>
      <c r="AV15">
        <v>1</v>
      </c>
      <c r="AW15">
        <v>2</v>
      </c>
      <c r="AX15">
        <v>36227012</v>
      </c>
      <c r="AY15">
        <v>1</v>
      </c>
      <c r="AZ15">
        <v>0</v>
      </c>
      <c r="BA15">
        <v>16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Y15*Source!I70</f>
        <v>40.799999999999997</v>
      </c>
      <c r="CY15">
        <f t="shared" ref="CY15:CY27" si="2">AD15</f>
        <v>0</v>
      </c>
      <c r="CZ15">
        <f t="shared" ref="CZ15:CZ27" si="3">AH15</f>
        <v>0</v>
      </c>
      <c r="DA15">
        <f t="shared" ref="DA15:DA27" si="4">AL15</f>
        <v>1</v>
      </c>
      <c r="DB15">
        <f t="shared" si="0"/>
        <v>0</v>
      </c>
      <c r="DC15">
        <f t="shared" si="1"/>
        <v>0</v>
      </c>
    </row>
    <row r="16" spans="1:107" x14ac:dyDescent="0.2">
      <c r="A16">
        <f>ROW(Source!A71)</f>
        <v>71</v>
      </c>
      <c r="B16">
        <v>36226623</v>
      </c>
      <c r="C16">
        <v>36227013</v>
      </c>
      <c r="D16">
        <v>30393407</v>
      </c>
      <c r="E16">
        <v>13</v>
      </c>
      <c r="F16">
        <v>1</v>
      </c>
      <c r="G16">
        <v>13</v>
      </c>
      <c r="H16">
        <v>1</v>
      </c>
      <c r="I16" t="s">
        <v>213</v>
      </c>
      <c r="J16" t="s">
        <v>3</v>
      </c>
      <c r="K16" t="s">
        <v>214</v>
      </c>
      <c r="L16">
        <v>1191</v>
      </c>
      <c r="N16">
        <v>1013</v>
      </c>
      <c r="O16" t="s">
        <v>215</v>
      </c>
      <c r="P16" t="s">
        <v>215</v>
      </c>
      <c r="Q16">
        <v>1</v>
      </c>
      <c r="W16">
        <v>0</v>
      </c>
      <c r="X16">
        <v>476480486</v>
      </c>
      <c r="Y16">
        <v>2.74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2.74</v>
      </c>
      <c r="AU16" t="s">
        <v>3</v>
      </c>
      <c r="AV16">
        <v>1</v>
      </c>
      <c r="AW16">
        <v>2</v>
      </c>
      <c r="AX16">
        <v>36227015</v>
      </c>
      <c r="AY16">
        <v>1</v>
      </c>
      <c r="AZ16">
        <v>0</v>
      </c>
      <c r="BA16">
        <v>17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Y16*Source!I71</f>
        <v>8.7406000000000006</v>
      </c>
      <c r="CY16">
        <f t="shared" si="2"/>
        <v>0</v>
      </c>
      <c r="CZ16">
        <f t="shared" si="3"/>
        <v>0</v>
      </c>
      <c r="DA16">
        <f t="shared" si="4"/>
        <v>1</v>
      </c>
      <c r="DB16">
        <f t="shared" si="0"/>
        <v>0</v>
      </c>
      <c r="DC16">
        <f t="shared" si="1"/>
        <v>0</v>
      </c>
    </row>
    <row r="17" spans="1:107" x14ac:dyDescent="0.2">
      <c r="A17">
        <f>ROW(Source!A109)</f>
        <v>109</v>
      </c>
      <c r="B17">
        <v>36226623</v>
      </c>
      <c r="C17">
        <v>36227021</v>
      </c>
      <c r="D17">
        <v>30393407</v>
      </c>
      <c r="E17">
        <v>13</v>
      </c>
      <c r="F17">
        <v>1</v>
      </c>
      <c r="G17">
        <v>13</v>
      </c>
      <c r="H17">
        <v>1</v>
      </c>
      <c r="I17" t="s">
        <v>213</v>
      </c>
      <c r="J17" t="s">
        <v>3</v>
      </c>
      <c r="K17" t="s">
        <v>214</v>
      </c>
      <c r="L17">
        <v>1191</v>
      </c>
      <c r="N17">
        <v>1013</v>
      </c>
      <c r="O17" t="s">
        <v>215</v>
      </c>
      <c r="P17" t="s">
        <v>215</v>
      </c>
      <c r="Q17">
        <v>1</v>
      </c>
      <c r="W17">
        <v>0</v>
      </c>
      <c r="X17">
        <v>476480486</v>
      </c>
      <c r="Y17">
        <v>40.799999999999997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40.799999999999997</v>
      </c>
      <c r="AU17" t="s">
        <v>3</v>
      </c>
      <c r="AV17">
        <v>1</v>
      </c>
      <c r="AW17">
        <v>2</v>
      </c>
      <c r="AX17">
        <v>36227023</v>
      </c>
      <c r="AY17">
        <v>1</v>
      </c>
      <c r="AZ17">
        <v>0</v>
      </c>
      <c r="BA17">
        <v>18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Y17*Source!I109</f>
        <v>40.799999999999997</v>
      </c>
      <c r="CY17">
        <f t="shared" si="2"/>
        <v>0</v>
      </c>
      <c r="CZ17">
        <f t="shared" si="3"/>
        <v>0</v>
      </c>
      <c r="DA17">
        <f t="shared" si="4"/>
        <v>1</v>
      </c>
      <c r="DB17">
        <f t="shared" si="0"/>
        <v>0</v>
      </c>
      <c r="DC17">
        <f t="shared" si="1"/>
        <v>0</v>
      </c>
    </row>
    <row r="18" spans="1:107" x14ac:dyDescent="0.2">
      <c r="A18">
        <f>ROW(Source!A111)</f>
        <v>111</v>
      </c>
      <c r="B18">
        <v>36226623</v>
      </c>
      <c r="C18">
        <v>36227025</v>
      </c>
      <c r="D18">
        <v>30393407</v>
      </c>
      <c r="E18">
        <v>13</v>
      </c>
      <c r="F18">
        <v>1</v>
      </c>
      <c r="G18">
        <v>13</v>
      </c>
      <c r="H18">
        <v>1</v>
      </c>
      <c r="I18" t="s">
        <v>213</v>
      </c>
      <c r="J18" t="s">
        <v>3</v>
      </c>
      <c r="K18" t="s">
        <v>214</v>
      </c>
      <c r="L18">
        <v>1191</v>
      </c>
      <c r="N18">
        <v>1013</v>
      </c>
      <c r="O18" t="s">
        <v>215</v>
      </c>
      <c r="P18" t="s">
        <v>215</v>
      </c>
      <c r="Q18">
        <v>1</v>
      </c>
      <c r="W18">
        <v>0</v>
      </c>
      <c r="X18">
        <v>476480486</v>
      </c>
      <c r="Y18">
        <v>45.3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45.3</v>
      </c>
      <c r="AU18" t="s">
        <v>3</v>
      </c>
      <c r="AV18">
        <v>1</v>
      </c>
      <c r="AW18">
        <v>2</v>
      </c>
      <c r="AX18">
        <v>36227027</v>
      </c>
      <c r="AY18">
        <v>1</v>
      </c>
      <c r="AZ18">
        <v>0</v>
      </c>
      <c r="BA18">
        <v>19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Y18*Source!I111</f>
        <v>2.7179999999999995</v>
      </c>
      <c r="CY18">
        <f t="shared" si="2"/>
        <v>0</v>
      </c>
      <c r="CZ18">
        <f t="shared" si="3"/>
        <v>0</v>
      </c>
      <c r="DA18">
        <f t="shared" si="4"/>
        <v>1</v>
      </c>
      <c r="DB18">
        <f t="shared" si="0"/>
        <v>0</v>
      </c>
      <c r="DC18">
        <f t="shared" si="1"/>
        <v>0</v>
      </c>
    </row>
    <row r="19" spans="1:107" x14ac:dyDescent="0.2">
      <c r="A19">
        <f>ROW(Source!A113)</f>
        <v>113</v>
      </c>
      <c r="B19">
        <v>36226623</v>
      </c>
      <c r="C19">
        <v>36227029</v>
      </c>
      <c r="D19">
        <v>30393407</v>
      </c>
      <c r="E19">
        <v>13</v>
      </c>
      <c r="F19">
        <v>1</v>
      </c>
      <c r="G19">
        <v>13</v>
      </c>
      <c r="H19">
        <v>1</v>
      </c>
      <c r="I19" t="s">
        <v>213</v>
      </c>
      <c r="J19" t="s">
        <v>3</v>
      </c>
      <c r="K19" t="s">
        <v>214</v>
      </c>
      <c r="L19">
        <v>1191</v>
      </c>
      <c r="N19">
        <v>1013</v>
      </c>
      <c r="O19" t="s">
        <v>215</v>
      </c>
      <c r="P19" t="s">
        <v>215</v>
      </c>
      <c r="Q19">
        <v>1</v>
      </c>
      <c r="W19">
        <v>0</v>
      </c>
      <c r="X19">
        <v>476480486</v>
      </c>
      <c r="Y19">
        <v>2.83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2.83</v>
      </c>
      <c r="AU19" t="s">
        <v>3</v>
      </c>
      <c r="AV19">
        <v>1</v>
      </c>
      <c r="AW19">
        <v>2</v>
      </c>
      <c r="AX19">
        <v>36227031</v>
      </c>
      <c r="AY19">
        <v>1</v>
      </c>
      <c r="AZ19">
        <v>0</v>
      </c>
      <c r="BA19">
        <v>20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Y19*Source!I113</f>
        <v>8.49</v>
      </c>
      <c r="CY19">
        <f t="shared" si="2"/>
        <v>0</v>
      </c>
      <c r="CZ19">
        <f t="shared" si="3"/>
        <v>0</v>
      </c>
      <c r="DA19">
        <f t="shared" si="4"/>
        <v>1</v>
      </c>
      <c r="DB19">
        <f t="shared" si="0"/>
        <v>0</v>
      </c>
      <c r="DC19">
        <f t="shared" si="1"/>
        <v>0</v>
      </c>
    </row>
    <row r="20" spans="1:107" x14ac:dyDescent="0.2">
      <c r="A20">
        <f>ROW(Source!A150)</f>
        <v>150</v>
      </c>
      <c r="B20">
        <v>36226623</v>
      </c>
      <c r="C20">
        <v>36227056</v>
      </c>
      <c r="D20">
        <v>30393407</v>
      </c>
      <c r="E20">
        <v>13</v>
      </c>
      <c r="F20">
        <v>1</v>
      </c>
      <c r="G20">
        <v>13</v>
      </c>
      <c r="H20">
        <v>1</v>
      </c>
      <c r="I20" t="s">
        <v>213</v>
      </c>
      <c r="J20" t="s">
        <v>3</v>
      </c>
      <c r="K20" t="s">
        <v>214</v>
      </c>
      <c r="L20">
        <v>1191</v>
      </c>
      <c r="N20">
        <v>1013</v>
      </c>
      <c r="O20" t="s">
        <v>215</v>
      </c>
      <c r="P20" t="s">
        <v>215</v>
      </c>
      <c r="Q20">
        <v>1</v>
      </c>
      <c r="W20">
        <v>0</v>
      </c>
      <c r="X20">
        <v>476480486</v>
      </c>
      <c r="Y20">
        <v>23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23</v>
      </c>
      <c r="AU20" t="s">
        <v>3</v>
      </c>
      <c r="AV20">
        <v>1</v>
      </c>
      <c r="AW20">
        <v>2</v>
      </c>
      <c r="AX20">
        <v>36227058</v>
      </c>
      <c r="AY20">
        <v>1</v>
      </c>
      <c r="AZ20">
        <v>0</v>
      </c>
      <c r="BA20">
        <v>21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Y20*Source!I150</f>
        <v>23</v>
      </c>
      <c r="CY20">
        <f t="shared" si="2"/>
        <v>0</v>
      </c>
      <c r="CZ20">
        <f t="shared" si="3"/>
        <v>0</v>
      </c>
      <c r="DA20">
        <f t="shared" si="4"/>
        <v>1</v>
      </c>
      <c r="DB20">
        <f t="shared" si="0"/>
        <v>0</v>
      </c>
      <c r="DC20">
        <f t="shared" si="1"/>
        <v>0</v>
      </c>
    </row>
    <row r="21" spans="1:107" x14ac:dyDescent="0.2">
      <c r="A21">
        <f>ROW(Source!A151)</f>
        <v>151</v>
      </c>
      <c r="B21">
        <v>36226623</v>
      </c>
      <c r="C21">
        <v>36227059</v>
      </c>
      <c r="D21">
        <v>30393407</v>
      </c>
      <c r="E21">
        <v>13</v>
      </c>
      <c r="F21">
        <v>1</v>
      </c>
      <c r="G21">
        <v>13</v>
      </c>
      <c r="H21">
        <v>1</v>
      </c>
      <c r="I21" t="s">
        <v>213</v>
      </c>
      <c r="J21" t="s">
        <v>3</v>
      </c>
      <c r="K21" t="s">
        <v>214</v>
      </c>
      <c r="L21">
        <v>1191</v>
      </c>
      <c r="N21">
        <v>1013</v>
      </c>
      <c r="O21" t="s">
        <v>215</v>
      </c>
      <c r="P21" t="s">
        <v>215</v>
      </c>
      <c r="Q21">
        <v>1</v>
      </c>
      <c r="W21">
        <v>0</v>
      </c>
      <c r="X21">
        <v>476480486</v>
      </c>
      <c r="Y21">
        <v>8.1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8.1</v>
      </c>
      <c r="AU21" t="s">
        <v>3</v>
      </c>
      <c r="AV21">
        <v>1</v>
      </c>
      <c r="AW21">
        <v>2</v>
      </c>
      <c r="AX21">
        <v>36227061</v>
      </c>
      <c r="AY21">
        <v>1</v>
      </c>
      <c r="AZ21">
        <v>0</v>
      </c>
      <c r="BA21">
        <v>22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Y21*Source!I151</f>
        <v>24.299999999999997</v>
      </c>
      <c r="CY21">
        <f t="shared" si="2"/>
        <v>0</v>
      </c>
      <c r="CZ21">
        <f t="shared" si="3"/>
        <v>0</v>
      </c>
      <c r="DA21">
        <f t="shared" si="4"/>
        <v>1</v>
      </c>
      <c r="DB21">
        <f t="shared" si="0"/>
        <v>0</v>
      </c>
      <c r="DC21">
        <f t="shared" si="1"/>
        <v>0</v>
      </c>
    </row>
    <row r="22" spans="1:107" x14ac:dyDescent="0.2">
      <c r="A22">
        <f>ROW(Source!A152)</f>
        <v>152</v>
      </c>
      <c r="B22">
        <v>36226623</v>
      </c>
      <c r="C22">
        <v>36227062</v>
      </c>
      <c r="D22">
        <v>30393407</v>
      </c>
      <c r="E22">
        <v>13</v>
      </c>
      <c r="F22">
        <v>1</v>
      </c>
      <c r="G22">
        <v>13</v>
      </c>
      <c r="H22">
        <v>1</v>
      </c>
      <c r="I22" t="s">
        <v>213</v>
      </c>
      <c r="J22" t="s">
        <v>3</v>
      </c>
      <c r="K22" t="s">
        <v>214</v>
      </c>
      <c r="L22">
        <v>1191</v>
      </c>
      <c r="N22">
        <v>1013</v>
      </c>
      <c r="O22" t="s">
        <v>215</v>
      </c>
      <c r="P22" t="s">
        <v>215</v>
      </c>
      <c r="Q22">
        <v>1</v>
      </c>
      <c r="W22">
        <v>0</v>
      </c>
      <c r="X22">
        <v>476480486</v>
      </c>
      <c r="Y22">
        <v>0.9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0.9</v>
      </c>
      <c r="AU22" t="s">
        <v>3</v>
      </c>
      <c r="AV22">
        <v>1</v>
      </c>
      <c r="AW22">
        <v>2</v>
      </c>
      <c r="AX22">
        <v>36227064</v>
      </c>
      <c r="AY22">
        <v>1</v>
      </c>
      <c r="AZ22">
        <v>0</v>
      </c>
      <c r="BA22">
        <v>23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Y22*Source!I152</f>
        <v>0.9</v>
      </c>
      <c r="CY22">
        <f t="shared" si="2"/>
        <v>0</v>
      </c>
      <c r="CZ22">
        <f t="shared" si="3"/>
        <v>0</v>
      </c>
      <c r="DA22">
        <f t="shared" si="4"/>
        <v>1</v>
      </c>
      <c r="DB22">
        <f t="shared" si="0"/>
        <v>0</v>
      </c>
      <c r="DC22">
        <f t="shared" si="1"/>
        <v>0</v>
      </c>
    </row>
    <row r="23" spans="1:107" x14ac:dyDescent="0.2">
      <c r="A23">
        <f>ROW(Source!A153)</f>
        <v>153</v>
      </c>
      <c r="B23">
        <v>36226623</v>
      </c>
      <c r="C23">
        <v>36227065</v>
      </c>
      <c r="D23">
        <v>30393407</v>
      </c>
      <c r="E23">
        <v>13</v>
      </c>
      <c r="F23">
        <v>1</v>
      </c>
      <c r="G23">
        <v>13</v>
      </c>
      <c r="H23">
        <v>1</v>
      </c>
      <c r="I23" t="s">
        <v>213</v>
      </c>
      <c r="J23" t="s">
        <v>3</v>
      </c>
      <c r="K23" t="s">
        <v>214</v>
      </c>
      <c r="L23">
        <v>1191</v>
      </c>
      <c r="N23">
        <v>1013</v>
      </c>
      <c r="O23" t="s">
        <v>215</v>
      </c>
      <c r="P23" t="s">
        <v>215</v>
      </c>
      <c r="Q23">
        <v>1</v>
      </c>
      <c r="W23">
        <v>0</v>
      </c>
      <c r="X23">
        <v>476480486</v>
      </c>
      <c r="Y23">
        <v>1.8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1.8</v>
      </c>
      <c r="AU23" t="s">
        <v>3</v>
      </c>
      <c r="AV23">
        <v>1</v>
      </c>
      <c r="AW23">
        <v>2</v>
      </c>
      <c r="AX23">
        <v>36227067</v>
      </c>
      <c r="AY23">
        <v>1</v>
      </c>
      <c r="AZ23">
        <v>0</v>
      </c>
      <c r="BA23">
        <v>24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Y23*Source!I153</f>
        <v>1.8</v>
      </c>
      <c r="CY23">
        <f t="shared" si="2"/>
        <v>0</v>
      </c>
      <c r="CZ23">
        <f t="shared" si="3"/>
        <v>0</v>
      </c>
      <c r="DA23">
        <f t="shared" si="4"/>
        <v>1</v>
      </c>
      <c r="DB23">
        <f t="shared" si="0"/>
        <v>0</v>
      </c>
      <c r="DC23">
        <f t="shared" si="1"/>
        <v>0</v>
      </c>
    </row>
    <row r="24" spans="1:107" x14ac:dyDescent="0.2">
      <c r="A24">
        <f>ROW(Source!A154)</f>
        <v>154</v>
      </c>
      <c r="B24">
        <v>36226623</v>
      </c>
      <c r="C24">
        <v>36227068</v>
      </c>
      <c r="D24">
        <v>30393407</v>
      </c>
      <c r="E24">
        <v>13</v>
      </c>
      <c r="F24">
        <v>1</v>
      </c>
      <c r="G24">
        <v>13</v>
      </c>
      <c r="H24">
        <v>1</v>
      </c>
      <c r="I24" t="s">
        <v>213</v>
      </c>
      <c r="J24" t="s">
        <v>3</v>
      </c>
      <c r="K24" t="s">
        <v>214</v>
      </c>
      <c r="L24">
        <v>1191</v>
      </c>
      <c r="N24">
        <v>1013</v>
      </c>
      <c r="O24" t="s">
        <v>215</v>
      </c>
      <c r="P24" t="s">
        <v>215</v>
      </c>
      <c r="Q24">
        <v>1</v>
      </c>
      <c r="W24">
        <v>0</v>
      </c>
      <c r="X24">
        <v>476480486</v>
      </c>
      <c r="Y24">
        <v>0.46799999999999997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1</v>
      </c>
      <c r="AQ24">
        <v>0</v>
      </c>
      <c r="AR24">
        <v>0</v>
      </c>
      <c r="AS24" t="s">
        <v>3</v>
      </c>
      <c r="AT24">
        <v>0.36</v>
      </c>
      <c r="AU24" t="s">
        <v>187</v>
      </c>
      <c r="AV24">
        <v>1</v>
      </c>
      <c r="AW24">
        <v>2</v>
      </c>
      <c r="AX24">
        <v>36227070</v>
      </c>
      <c r="AY24">
        <v>1</v>
      </c>
      <c r="AZ24">
        <v>0</v>
      </c>
      <c r="BA24">
        <v>25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Y24*Source!I154</f>
        <v>0.46799999999999997</v>
      </c>
      <c r="CY24">
        <f t="shared" si="2"/>
        <v>0</v>
      </c>
      <c r="CZ24">
        <f t="shared" si="3"/>
        <v>0</v>
      </c>
      <c r="DA24">
        <f t="shared" si="4"/>
        <v>1</v>
      </c>
      <c r="DB24">
        <f>ROUND((ROUND(AT24*CZ24,2)*1.3),2)</f>
        <v>0</v>
      </c>
      <c r="DC24">
        <f>ROUND((ROUND(AT24*AG24,2)*1.3),2)</f>
        <v>0</v>
      </c>
    </row>
    <row r="25" spans="1:107" x14ac:dyDescent="0.2">
      <c r="A25">
        <f>ROW(Source!A155)</f>
        <v>155</v>
      </c>
      <c r="B25">
        <v>36226623</v>
      </c>
      <c r="C25">
        <v>36227071</v>
      </c>
      <c r="D25">
        <v>30393407</v>
      </c>
      <c r="E25">
        <v>13</v>
      </c>
      <c r="F25">
        <v>1</v>
      </c>
      <c r="G25">
        <v>13</v>
      </c>
      <c r="H25">
        <v>1</v>
      </c>
      <c r="I25" t="s">
        <v>213</v>
      </c>
      <c r="J25" t="s">
        <v>3</v>
      </c>
      <c r="K25" t="s">
        <v>214</v>
      </c>
      <c r="L25">
        <v>1191</v>
      </c>
      <c r="N25">
        <v>1013</v>
      </c>
      <c r="O25" t="s">
        <v>215</v>
      </c>
      <c r="P25" t="s">
        <v>215</v>
      </c>
      <c r="Q25">
        <v>1</v>
      </c>
      <c r="W25">
        <v>0</v>
      </c>
      <c r="X25">
        <v>476480486</v>
      </c>
      <c r="Y25">
        <v>2.7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2.7</v>
      </c>
      <c r="AU25" t="s">
        <v>3</v>
      </c>
      <c r="AV25">
        <v>1</v>
      </c>
      <c r="AW25">
        <v>2</v>
      </c>
      <c r="AX25">
        <v>36227073</v>
      </c>
      <c r="AY25">
        <v>1</v>
      </c>
      <c r="AZ25">
        <v>0</v>
      </c>
      <c r="BA25">
        <v>26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Y25*Source!I155</f>
        <v>5.4</v>
      </c>
      <c r="CY25">
        <f t="shared" si="2"/>
        <v>0</v>
      </c>
      <c r="CZ25">
        <f t="shared" si="3"/>
        <v>0</v>
      </c>
      <c r="DA25">
        <f t="shared" si="4"/>
        <v>1</v>
      </c>
      <c r="DB25">
        <f>ROUND(ROUND(AT25*CZ25,2),2)</f>
        <v>0</v>
      </c>
      <c r="DC25">
        <f>ROUND(ROUND(AT25*AG25,2),2)</f>
        <v>0</v>
      </c>
    </row>
    <row r="26" spans="1:107" x14ac:dyDescent="0.2">
      <c r="A26">
        <f>ROW(Source!A156)</f>
        <v>156</v>
      </c>
      <c r="B26">
        <v>36226623</v>
      </c>
      <c r="C26">
        <v>36227074</v>
      </c>
      <c r="D26">
        <v>30393407</v>
      </c>
      <c r="E26">
        <v>13</v>
      </c>
      <c r="F26">
        <v>1</v>
      </c>
      <c r="G26">
        <v>13</v>
      </c>
      <c r="H26">
        <v>1</v>
      </c>
      <c r="I26" t="s">
        <v>213</v>
      </c>
      <c r="J26" t="s">
        <v>3</v>
      </c>
      <c r="K26" t="s">
        <v>214</v>
      </c>
      <c r="L26">
        <v>1191</v>
      </c>
      <c r="N26">
        <v>1013</v>
      </c>
      <c r="O26" t="s">
        <v>215</v>
      </c>
      <c r="P26" t="s">
        <v>215</v>
      </c>
      <c r="Q26">
        <v>1</v>
      </c>
      <c r="W26">
        <v>0</v>
      </c>
      <c r="X26">
        <v>476480486</v>
      </c>
      <c r="Y26">
        <v>2.7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2.7</v>
      </c>
      <c r="AU26" t="s">
        <v>3</v>
      </c>
      <c r="AV26">
        <v>1</v>
      </c>
      <c r="AW26">
        <v>2</v>
      </c>
      <c r="AX26">
        <v>36227076</v>
      </c>
      <c r="AY26">
        <v>1</v>
      </c>
      <c r="AZ26">
        <v>0</v>
      </c>
      <c r="BA26">
        <v>27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Y26*Source!I156</f>
        <v>8.1000000000000014</v>
      </c>
      <c r="CY26">
        <f t="shared" si="2"/>
        <v>0</v>
      </c>
      <c r="CZ26">
        <f t="shared" si="3"/>
        <v>0</v>
      </c>
      <c r="DA26">
        <f t="shared" si="4"/>
        <v>1</v>
      </c>
      <c r="DB26">
        <f>ROUND(ROUND(AT26*CZ26,2),2)</f>
        <v>0</v>
      </c>
      <c r="DC26">
        <f>ROUND(ROUND(AT26*AG26,2),2)</f>
        <v>0</v>
      </c>
    </row>
    <row r="27" spans="1:107" x14ac:dyDescent="0.2">
      <c r="A27">
        <f>ROW(Source!A157)</f>
        <v>157</v>
      </c>
      <c r="B27">
        <v>36226623</v>
      </c>
      <c r="C27">
        <v>36227080</v>
      </c>
      <c r="D27">
        <v>30393407</v>
      </c>
      <c r="E27">
        <v>13</v>
      </c>
      <c r="F27">
        <v>1</v>
      </c>
      <c r="G27">
        <v>13</v>
      </c>
      <c r="H27">
        <v>1</v>
      </c>
      <c r="I27" t="s">
        <v>213</v>
      </c>
      <c r="J27" t="s">
        <v>3</v>
      </c>
      <c r="K27" t="s">
        <v>214</v>
      </c>
      <c r="L27">
        <v>1191</v>
      </c>
      <c r="N27">
        <v>1013</v>
      </c>
      <c r="O27" t="s">
        <v>215</v>
      </c>
      <c r="P27" t="s">
        <v>215</v>
      </c>
      <c r="Q27">
        <v>1</v>
      </c>
      <c r="W27">
        <v>0</v>
      </c>
      <c r="X27">
        <v>476480486</v>
      </c>
      <c r="Y27">
        <v>1.8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1.8</v>
      </c>
      <c r="AU27" t="s">
        <v>3</v>
      </c>
      <c r="AV27">
        <v>1</v>
      </c>
      <c r="AW27">
        <v>2</v>
      </c>
      <c r="AX27">
        <v>36227082</v>
      </c>
      <c r="AY27">
        <v>1</v>
      </c>
      <c r="AZ27">
        <v>0</v>
      </c>
      <c r="BA27">
        <v>28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Y27*Source!I157</f>
        <v>1.8</v>
      </c>
      <c r="CY27">
        <f t="shared" si="2"/>
        <v>0</v>
      </c>
      <c r="CZ27">
        <f t="shared" si="3"/>
        <v>0</v>
      </c>
      <c r="DA27">
        <f t="shared" si="4"/>
        <v>1</v>
      </c>
      <c r="DB27">
        <f>ROUND(ROUND(AT27*CZ27,2),2)</f>
        <v>0</v>
      </c>
      <c r="DC27">
        <f>ROUND(ROUND(AT27*AG27,2),2)</f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2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ROW(Source!A29)</f>
        <v>29</v>
      </c>
      <c r="B1">
        <v>36227447</v>
      </c>
      <c r="C1">
        <v>36227440</v>
      </c>
      <c r="D1">
        <v>30393407</v>
      </c>
      <c r="E1">
        <v>13</v>
      </c>
      <c r="F1">
        <v>1</v>
      </c>
      <c r="G1">
        <v>13</v>
      </c>
      <c r="H1">
        <v>1</v>
      </c>
      <c r="I1" t="s">
        <v>213</v>
      </c>
      <c r="J1" t="s">
        <v>3</v>
      </c>
      <c r="K1" t="s">
        <v>214</v>
      </c>
      <c r="L1">
        <v>1191</v>
      </c>
      <c r="N1">
        <v>1013</v>
      </c>
      <c r="O1" t="s">
        <v>215</v>
      </c>
      <c r="P1" t="s">
        <v>215</v>
      </c>
      <c r="Q1">
        <v>1</v>
      </c>
      <c r="X1">
        <v>0.85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F1" t="s">
        <v>21</v>
      </c>
      <c r="AG1">
        <v>0.68</v>
      </c>
      <c r="AH1">
        <v>2</v>
      </c>
      <c r="AI1">
        <v>36227441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ROW(Source!A29)</f>
        <v>29</v>
      </c>
      <c r="B2">
        <v>36227448</v>
      </c>
      <c r="C2">
        <v>36227440</v>
      </c>
      <c r="D2">
        <v>30418464</v>
      </c>
      <c r="E2">
        <v>1</v>
      </c>
      <c r="F2">
        <v>1</v>
      </c>
      <c r="G2">
        <v>13</v>
      </c>
      <c r="H2">
        <v>2</v>
      </c>
      <c r="I2" t="s">
        <v>216</v>
      </c>
      <c r="J2" t="s">
        <v>217</v>
      </c>
      <c r="K2" t="s">
        <v>218</v>
      </c>
      <c r="L2">
        <v>1367</v>
      </c>
      <c r="N2">
        <v>1011</v>
      </c>
      <c r="O2" t="s">
        <v>219</v>
      </c>
      <c r="P2" t="s">
        <v>219</v>
      </c>
      <c r="Q2">
        <v>1</v>
      </c>
      <c r="X2">
        <v>0.2</v>
      </c>
      <c r="Y2">
        <v>0</v>
      </c>
      <c r="Z2">
        <v>41.62</v>
      </c>
      <c r="AA2">
        <v>13.33</v>
      </c>
      <c r="AB2">
        <v>0</v>
      </c>
      <c r="AC2">
        <v>0</v>
      </c>
      <c r="AD2">
        <v>1</v>
      </c>
      <c r="AE2">
        <v>0</v>
      </c>
      <c r="AF2" t="s">
        <v>21</v>
      </c>
      <c r="AG2">
        <v>0.16000000000000003</v>
      </c>
      <c r="AH2">
        <v>2</v>
      </c>
      <c r="AI2">
        <v>36227442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ROW(Source!A29)</f>
        <v>29</v>
      </c>
      <c r="B3">
        <v>36227449</v>
      </c>
      <c r="C3">
        <v>36227440</v>
      </c>
      <c r="D3">
        <v>30418888</v>
      </c>
      <c r="E3">
        <v>1</v>
      </c>
      <c r="F3">
        <v>1</v>
      </c>
      <c r="G3">
        <v>13</v>
      </c>
      <c r="H3">
        <v>2</v>
      </c>
      <c r="I3" t="s">
        <v>220</v>
      </c>
      <c r="J3" t="s">
        <v>221</v>
      </c>
      <c r="K3" t="s">
        <v>222</v>
      </c>
      <c r="L3">
        <v>1367</v>
      </c>
      <c r="N3">
        <v>1011</v>
      </c>
      <c r="O3" t="s">
        <v>219</v>
      </c>
      <c r="P3" t="s">
        <v>219</v>
      </c>
      <c r="Q3">
        <v>1</v>
      </c>
      <c r="X3">
        <v>0.4</v>
      </c>
      <c r="Y3">
        <v>0</v>
      </c>
      <c r="Z3">
        <v>0.56000000000000005</v>
      </c>
      <c r="AA3">
        <v>0.09</v>
      </c>
      <c r="AB3">
        <v>0</v>
      </c>
      <c r="AC3">
        <v>0</v>
      </c>
      <c r="AD3">
        <v>1</v>
      </c>
      <c r="AE3">
        <v>0</v>
      </c>
      <c r="AF3" t="s">
        <v>21</v>
      </c>
      <c r="AG3">
        <v>0.32000000000000006</v>
      </c>
      <c r="AH3">
        <v>2</v>
      </c>
      <c r="AI3">
        <v>36227443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ROW(Source!A29)</f>
        <v>29</v>
      </c>
      <c r="B4">
        <v>36227450</v>
      </c>
      <c r="C4">
        <v>36227440</v>
      </c>
      <c r="D4">
        <v>30418176</v>
      </c>
      <c r="E4">
        <v>1</v>
      </c>
      <c r="F4">
        <v>1</v>
      </c>
      <c r="G4">
        <v>13</v>
      </c>
      <c r="H4">
        <v>2</v>
      </c>
      <c r="I4" t="s">
        <v>223</v>
      </c>
      <c r="J4" t="s">
        <v>224</v>
      </c>
      <c r="K4" t="s">
        <v>225</v>
      </c>
      <c r="L4">
        <v>1367</v>
      </c>
      <c r="N4">
        <v>1011</v>
      </c>
      <c r="O4" t="s">
        <v>219</v>
      </c>
      <c r="P4" t="s">
        <v>219</v>
      </c>
      <c r="Q4">
        <v>1</v>
      </c>
      <c r="X4">
        <v>7.0000000000000007E-2</v>
      </c>
      <c r="Y4">
        <v>0</v>
      </c>
      <c r="Z4">
        <v>106.74</v>
      </c>
      <c r="AA4">
        <v>19.2</v>
      </c>
      <c r="AB4">
        <v>0</v>
      </c>
      <c r="AC4">
        <v>0</v>
      </c>
      <c r="AD4">
        <v>1</v>
      </c>
      <c r="AE4">
        <v>0</v>
      </c>
      <c r="AF4" t="s">
        <v>21</v>
      </c>
      <c r="AG4">
        <v>5.6000000000000008E-2</v>
      </c>
      <c r="AH4">
        <v>2</v>
      </c>
      <c r="AI4">
        <v>36227444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ROW(Source!A29)</f>
        <v>29</v>
      </c>
      <c r="B5">
        <v>36227451</v>
      </c>
      <c r="C5">
        <v>36227440</v>
      </c>
      <c r="D5">
        <v>31103248</v>
      </c>
      <c r="E5">
        <v>1</v>
      </c>
      <c r="F5">
        <v>1</v>
      </c>
      <c r="G5">
        <v>13</v>
      </c>
      <c r="H5">
        <v>3</v>
      </c>
      <c r="I5" t="s">
        <v>226</v>
      </c>
      <c r="J5" t="s">
        <v>227</v>
      </c>
      <c r="K5" t="s">
        <v>228</v>
      </c>
      <c r="L5">
        <v>1339</v>
      </c>
      <c r="N5">
        <v>1007</v>
      </c>
      <c r="O5" t="s">
        <v>29</v>
      </c>
      <c r="P5" t="s">
        <v>29</v>
      </c>
      <c r="Q5">
        <v>1</v>
      </c>
      <c r="X5">
        <v>0.15</v>
      </c>
      <c r="Y5">
        <v>7.07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20</v>
      </c>
      <c r="AG5">
        <v>0</v>
      </c>
      <c r="AH5">
        <v>2</v>
      </c>
      <c r="AI5">
        <v>36227445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ROW(Source!A29)</f>
        <v>29</v>
      </c>
      <c r="B6">
        <v>36227452</v>
      </c>
      <c r="C6">
        <v>36227440</v>
      </c>
      <c r="D6">
        <v>30381233</v>
      </c>
      <c r="E6">
        <v>13</v>
      </c>
      <c r="F6">
        <v>1</v>
      </c>
      <c r="G6">
        <v>13</v>
      </c>
      <c r="H6">
        <v>3</v>
      </c>
      <c r="I6" t="s">
        <v>235</v>
      </c>
      <c r="J6" t="s">
        <v>3</v>
      </c>
      <c r="K6" t="s">
        <v>236</v>
      </c>
      <c r="L6">
        <v>1339</v>
      </c>
      <c r="N6">
        <v>1007</v>
      </c>
      <c r="O6" t="s">
        <v>29</v>
      </c>
      <c r="P6" t="s">
        <v>29</v>
      </c>
      <c r="Q6">
        <v>1</v>
      </c>
      <c r="X6">
        <v>1.1499999999999999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 t="s">
        <v>20</v>
      </c>
      <c r="AG6">
        <v>0</v>
      </c>
      <c r="AH6">
        <v>3</v>
      </c>
      <c r="AI6">
        <v>-1</v>
      </c>
      <c r="AJ6" t="s">
        <v>3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ROW(Source!A30)</f>
        <v>30</v>
      </c>
      <c r="B7">
        <v>36227431</v>
      </c>
      <c r="C7">
        <v>36227430</v>
      </c>
      <c r="D7">
        <v>30393407</v>
      </c>
      <c r="E7">
        <v>13</v>
      </c>
      <c r="F7">
        <v>1</v>
      </c>
      <c r="G7">
        <v>13</v>
      </c>
      <c r="H7">
        <v>1</v>
      </c>
      <c r="I7" t="s">
        <v>213</v>
      </c>
      <c r="J7" t="s">
        <v>3</v>
      </c>
      <c r="K7" t="s">
        <v>214</v>
      </c>
      <c r="L7">
        <v>1191</v>
      </c>
      <c r="N7">
        <v>1013</v>
      </c>
      <c r="O7" t="s">
        <v>215</v>
      </c>
      <c r="P7" t="s">
        <v>215</v>
      </c>
      <c r="Q7">
        <v>1</v>
      </c>
      <c r="X7">
        <v>0.85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1</v>
      </c>
      <c r="AF7" t="s">
        <v>3</v>
      </c>
      <c r="AG7">
        <v>0.85</v>
      </c>
      <c r="AH7">
        <v>2</v>
      </c>
      <c r="AI7">
        <v>36227431</v>
      </c>
      <c r="AJ7">
        <v>6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ROW(Source!A30)</f>
        <v>30</v>
      </c>
      <c r="B8">
        <v>36227432</v>
      </c>
      <c r="C8">
        <v>36227430</v>
      </c>
      <c r="D8">
        <v>30418464</v>
      </c>
      <c r="E8">
        <v>1</v>
      </c>
      <c r="F8">
        <v>1</v>
      </c>
      <c r="G8">
        <v>13</v>
      </c>
      <c r="H8">
        <v>2</v>
      </c>
      <c r="I8" t="s">
        <v>216</v>
      </c>
      <c r="J8" t="s">
        <v>217</v>
      </c>
      <c r="K8" t="s">
        <v>218</v>
      </c>
      <c r="L8">
        <v>1367</v>
      </c>
      <c r="N8">
        <v>1011</v>
      </c>
      <c r="O8" t="s">
        <v>219</v>
      </c>
      <c r="P8" t="s">
        <v>219</v>
      </c>
      <c r="Q8">
        <v>1</v>
      </c>
      <c r="X8">
        <v>0.2</v>
      </c>
      <c r="Y8">
        <v>0</v>
      </c>
      <c r="Z8">
        <v>41.62</v>
      </c>
      <c r="AA8">
        <v>13.33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0.2</v>
      </c>
      <c r="AH8">
        <v>2</v>
      </c>
      <c r="AI8">
        <v>36227432</v>
      </c>
      <c r="AJ8">
        <v>7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ROW(Source!A30)</f>
        <v>30</v>
      </c>
      <c r="B9">
        <v>36227433</v>
      </c>
      <c r="C9">
        <v>36227430</v>
      </c>
      <c r="D9">
        <v>30418888</v>
      </c>
      <c r="E9">
        <v>1</v>
      </c>
      <c r="F9">
        <v>1</v>
      </c>
      <c r="G9">
        <v>13</v>
      </c>
      <c r="H9">
        <v>2</v>
      </c>
      <c r="I9" t="s">
        <v>220</v>
      </c>
      <c r="J9" t="s">
        <v>221</v>
      </c>
      <c r="K9" t="s">
        <v>222</v>
      </c>
      <c r="L9">
        <v>1367</v>
      </c>
      <c r="N9">
        <v>1011</v>
      </c>
      <c r="O9" t="s">
        <v>219</v>
      </c>
      <c r="P9" t="s">
        <v>219</v>
      </c>
      <c r="Q9">
        <v>1</v>
      </c>
      <c r="X9">
        <v>0.4</v>
      </c>
      <c r="Y9">
        <v>0</v>
      </c>
      <c r="Z9">
        <v>0.56000000000000005</v>
      </c>
      <c r="AA9">
        <v>0.09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0.4</v>
      </c>
      <c r="AH9">
        <v>2</v>
      </c>
      <c r="AI9">
        <v>36227433</v>
      </c>
      <c r="AJ9">
        <v>8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ROW(Source!A30)</f>
        <v>30</v>
      </c>
      <c r="B10">
        <v>36227434</v>
      </c>
      <c r="C10">
        <v>36227430</v>
      </c>
      <c r="D10">
        <v>30418176</v>
      </c>
      <c r="E10">
        <v>1</v>
      </c>
      <c r="F10">
        <v>1</v>
      </c>
      <c r="G10">
        <v>13</v>
      </c>
      <c r="H10">
        <v>2</v>
      </c>
      <c r="I10" t="s">
        <v>223</v>
      </c>
      <c r="J10" t="s">
        <v>224</v>
      </c>
      <c r="K10" t="s">
        <v>225</v>
      </c>
      <c r="L10">
        <v>1367</v>
      </c>
      <c r="N10">
        <v>1011</v>
      </c>
      <c r="O10" t="s">
        <v>219</v>
      </c>
      <c r="P10" t="s">
        <v>219</v>
      </c>
      <c r="Q10">
        <v>1</v>
      </c>
      <c r="X10">
        <v>7.0000000000000007E-2</v>
      </c>
      <c r="Y10">
        <v>0</v>
      </c>
      <c r="Z10">
        <v>106.74</v>
      </c>
      <c r="AA10">
        <v>19.2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7.0000000000000007E-2</v>
      </c>
      <c r="AH10">
        <v>2</v>
      </c>
      <c r="AI10">
        <v>36227434</v>
      </c>
      <c r="AJ10">
        <v>9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ROW(Source!A30)</f>
        <v>30</v>
      </c>
      <c r="B11">
        <v>36227435</v>
      </c>
      <c r="C11">
        <v>36227430</v>
      </c>
      <c r="D11">
        <v>31103248</v>
      </c>
      <c r="E11">
        <v>1</v>
      </c>
      <c r="F11">
        <v>1</v>
      </c>
      <c r="G11">
        <v>13</v>
      </c>
      <c r="H11">
        <v>3</v>
      </c>
      <c r="I11" t="s">
        <v>226</v>
      </c>
      <c r="J11" t="s">
        <v>227</v>
      </c>
      <c r="K11" t="s">
        <v>228</v>
      </c>
      <c r="L11">
        <v>1339</v>
      </c>
      <c r="N11">
        <v>1007</v>
      </c>
      <c r="O11" t="s">
        <v>29</v>
      </c>
      <c r="P11" t="s">
        <v>29</v>
      </c>
      <c r="Q11">
        <v>1</v>
      </c>
      <c r="X11">
        <v>0.15</v>
      </c>
      <c r="Y11">
        <v>7.07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0.15</v>
      </c>
      <c r="AH11">
        <v>2</v>
      </c>
      <c r="AI11">
        <v>36227435</v>
      </c>
      <c r="AJ11">
        <v>10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ROW(Source!A30)</f>
        <v>30</v>
      </c>
      <c r="B12">
        <v>36227436</v>
      </c>
      <c r="C12">
        <v>36227430</v>
      </c>
      <c r="D12">
        <v>30381233</v>
      </c>
      <c r="E12">
        <v>13</v>
      </c>
      <c r="F12">
        <v>1</v>
      </c>
      <c r="G12">
        <v>13</v>
      </c>
      <c r="H12">
        <v>3</v>
      </c>
      <c r="I12" t="s">
        <v>235</v>
      </c>
      <c r="J12" t="s">
        <v>3</v>
      </c>
      <c r="K12" t="s">
        <v>236</v>
      </c>
      <c r="L12">
        <v>1339</v>
      </c>
      <c r="N12">
        <v>1007</v>
      </c>
      <c r="O12" t="s">
        <v>29</v>
      </c>
      <c r="P12" t="s">
        <v>29</v>
      </c>
      <c r="Q12">
        <v>1</v>
      </c>
      <c r="X12">
        <v>1.1499999999999999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 t="s">
        <v>3</v>
      </c>
      <c r="AG12">
        <v>1.1499999999999999</v>
      </c>
      <c r="AH12">
        <v>3</v>
      </c>
      <c r="AI12">
        <v>-1</v>
      </c>
      <c r="AJ12" t="s">
        <v>3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ROW(Source!A32)</f>
        <v>32</v>
      </c>
      <c r="B13">
        <v>36227540</v>
      </c>
      <c r="C13">
        <v>36227539</v>
      </c>
      <c r="D13">
        <v>30393405</v>
      </c>
      <c r="E13">
        <v>13</v>
      </c>
      <c r="F13">
        <v>1</v>
      </c>
      <c r="G13">
        <v>13</v>
      </c>
      <c r="H13">
        <v>2</v>
      </c>
      <c r="I13" t="s">
        <v>229</v>
      </c>
      <c r="J13" t="s">
        <v>3</v>
      </c>
      <c r="K13" t="s">
        <v>230</v>
      </c>
      <c r="L13">
        <v>1344</v>
      </c>
      <c r="N13">
        <v>1008</v>
      </c>
      <c r="O13" t="s">
        <v>231</v>
      </c>
      <c r="P13" t="s">
        <v>231</v>
      </c>
      <c r="Q13">
        <v>1</v>
      </c>
      <c r="X13">
        <v>8.86</v>
      </c>
      <c r="Y13">
        <v>0</v>
      </c>
      <c r="Z13">
        <v>1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8.86</v>
      </c>
      <c r="AH13">
        <v>2</v>
      </c>
      <c r="AI13">
        <v>36227540</v>
      </c>
      <c r="AJ13">
        <v>12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ROW(Source!A33)</f>
        <v>33</v>
      </c>
      <c r="B14">
        <v>36227504</v>
      </c>
      <c r="C14">
        <v>36227498</v>
      </c>
      <c r="D14">
        <v>30418874</v>
      </c>
      <c r="E14">
        <v>1</v>
      </c>
      <c r="F14">
        <v>1</v>
      </c>
      <c r="G14">
        <v>13</v>
      </c>
      <c r="H14">
        <v>2</v>
      </c>
      <c r="I14" t="s">
        <v>232</v>
      </c>
      <c r="J14" t="s">
        <v>233</v>
      </c>
      <c r="K14" t="s">
        <v>234</v>
      </c>
      <c r="L14">
        <v>1367</v>
      </c>
      <c r="N14">
        <v>1011</v>
      </c>
      <c r="O14" t="s">
        <v>219</v>
      </c>
      <c r="P14" t="s">
        <v>219</v>
      </c>
      <c r="Q14">
        <v>1</v>
      </c>
      <c r="X14">
        <v>1</v>
      </c>
      <c r="Y14">
        <v>0</v>
      </c>
      <c r="Z14">
        <v>162.03</v>
      </c>
      <c r="AA14">
        <v>16.920000000000002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</v>
      </c>
      <c r="AH14">
        <v>2</v>
      </c>
      <c r="AI14">
        <v>36227504</v>
      </c>
      <c r="AJ14">
        <v>13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ROW(Source!A34)</f>
        <v>34</v>
      </c>
      <c r="B15">
        <v>36227503</v>
      </c>
      <c r="C15">
        <v>36227501</v>
      </c>
      <c r="D15">
        <v>30393405</v>
      </c>
      <c r="E15">
        <v>13</v>
      </c>
      <c r="F15">
        <v>1</v>
      </c>
      <c r="G15">
        <v>13</v>
      </c>
      <c r="H15">
        <v>2</v>
      </c>
      <c r="I15" t="s">
        <v>229</v>
      </c>
      <c r="J15" t="s">
        <v>3</v>
      </c>
      <c r="K15" t="s">
        <v>230</v>
      </c>
      <c r="L15">
        <v>1344</v>
      </c>
      <c r="N15">
        <v>1008</v>
      </c>
      <c r="O15" t="s">
        <v>231</v>
      </c>
      <c r="P15" t="s">
        <v>231</v>
      </c>
      <c r="Q15">
        <v>1</v>
      </c>
      <c r="X15">
        <v>12.61</v>
      </c>
      <c r="Y15">
        <v>0</v>
      </c>
      <c r="Z15">
        <v>1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12.61</v>
      </c>
      <c r="AH15">
        <v>2</v>
      </c>
      <c r="AI15">
        <v>36227502</v>
      </c>
      <c r="AJ15">
        <v>14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ROW(Source!A70)</f>
        <v>70</v>
      </c>
      <c r="B16">
        <v>36227012</v>
      </c>
      <c r="C16">
        <v>36227010</v>
      </c>
      <c r="D16">
        <v>30393407</v>
      </c>
      <c r="E16">
        <v>13</v>
      </c>
      <c r="F16">
        <v>1</v>
      </c>
      <c r="G16">
        <v>13</v>
      </c>
      <c r="H16">
        <v>1</v>
      </c>
      <c r="I16" t="s">
        <v>213</v>
      </c>
      <c r="J16" t="s">
        <v>3</v>
      </c>
      <c r="K16" t="s">
        <v>214</v>
      </c>
      <c r="L16">
        <v>1191</v>
      </c>
      <c r="N16">
        <v>1013</v>
      </c>
      <c r="O16" t="s">
        <v>215</v>
      </c>
      <c r="P16" t="s">
        <v>215</v>
      </c>
      <c r="Q16">
        <v>1</v>
      </c>
      <c r="X16">
        <v>40.799999999999997</v>
      </c>
      <c r="Y16">
        <v>0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1</v>
      </c>
      <c r="AF16" t="s">
        <v>3</v>
      </c>
      <c r="AG16">
        <v>40.799999999999997</v>
      </c>
      <c r="AH16">
        <v>2</v>
      </c>
      <c r="AI16">
        <v>36227011</v>
      </c>
      <c r="AJ16">
        <v>15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ROW(Source!A71)</f>
        <v>71</v>
      </c>
      <c r="B17">
        <v>36227015</v>
      </c>
      <c r="C17">
        <v>36227013</v>
      </c>
      <c r="D17">
        <v>30393407</v>
      </c>
      <c r="E17">
        <v>13</v>
      </c>
      <c r="F17">
        <v>1</v>
      </c>
      <c r="G17">
        <v>13</v>
      </c>
      <c r="H17">
        <v>1</v>
      </c>
      <c r="I17" t="s">
        <v>213</v>
      </c>
      <c r="J17" t="s">
        <v>3</v>
      </c>
      <c r="K17" t="s">
        <v>214</v>
      </c>
      <c r="L17">
        <v>1191</v>
      </c>
      <c r="N17">
        <v>1013</v>
      </c>
      <c r="O17" t="s">
        <v>215</v>
      </c>
      <c r="P17" t="s">
        <v>215</v>
      </c>
      <c r="Q17">
        <v>1</v>
      </c>
      <c r="X17">
        <v>2.74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1</v>
      </c>
      <c r="AF17" t="s">
        <v>3</v>
      </c>
      <c r="AG17">
        <v>2.74</v>
      </c>
      <c r="AH17">
        <v>2</v>
      </c>
      <c r="AI17">
        <v>36227014</v>
      </c>
      <c r="AJ17">
        <v>16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ROW(Source!A109)</f>
        <v>109</v>
      </c>
      <c r="B18">
        <v>36227023</v>
      </c>
      <c r="C18">
        <v>36227021</v>
      </c>
      <c r="D18">
        <v>30393407</v>
      </c>
      <c r="E18">
        <v>13</v>
      </c>
      <c r="F18">
        <v>1</v>
      </c>
      <c r="G18">
        <v>13</v>
      </c>
      <c r="H18">
        <v>1</v>
      </c>
      <c r="I18" t="s">
        <v>213</v>
      </c>
      <c r="J18" t="s">
        <v>3</v>
      </c>
      <c r="K18" t="s">
        <v>214</v>
      </c>
      <c r="L18">
        <v>1191</v>
      </c>
      <c r="N18">
        <v>1013</v>
      </c>
      <c r="O18" t="s">
        <v>215</v>
      </c>
      <c r="P18" t="s">
        <v>215</v>
      </c>
      <c r="Q18">
        <v>1</v>
      </c>
      <c r="X18">
        <v>40.799999999999997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1</v>
      </c>
      <c r="AF18" t="s">
        <v>3</v>
      </c>
      <c r="AG18">
        <v>40.799999999999997</v>
      </c>
      <c r="AH18">
        <v>2</v>
      </c>
      <c r="AI18">
        <v>36227022</v>
      </c>
      <c r="AJ18">
        <v>17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ROW(Source!A111)</f>
        <v>111</v>
      </c>
      <c r="B19">
        <v>36227027</v>
      </c>
      <c r="C19">
        <v>36227025</v>
      </c>
      <c r="D19">
        <v>30393407</v>
      </c>
      <c r="E19">
        <v>13</v>
      </c>
      <c r="F19">
        <v>1</v>
      </c>
      <c r="G19">
        <v>13</v>
      </c>
      <c r="H19">
        <v>1</v>
      </c>
      <c r="I19" t="s">
        <v>213</v>
      </c>
      <c r="J19" t="s">
        <v>3</v>
      </c>
      <c r="K19" t="s">
        <v>214</v>
      </c>
      <c r="L19">
        <v>1191</v>
      </c>
      <c r="N19">
        <v>1013</v>
      </c>
      <c r="O19" t="s">
        <v>215</v>
      </c>
      <c r="P19" t="s">
        <v>215</v>
      </c>
      <c r="Q19">
        <v>1</v>
      </c>
      <c r="X19">
        <v>45.3</v>
      </c>
      <c r="Y19">
        <v>0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1</v>
      </c>
      <c r="AF19" t="s">
        <v>3</v>
      </c>
      <c r="AG19">
        <v>45.3</v>
      </c>
      <c r="AH19">
        <v>2</v>
      </c>
      <c r="AI19">
        <v>36227026</v>
      </c>
      <c r="AJ19">
        <v>18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ROW(Source!A113)</f>
        <v>113</v>
      </c>
      <c r="B20">
        <v>36227031</v>
      </c>
      <c r="C20">
        <v>36227029</v>
      </c>
      <c r="D20">
        <v>30393407</v>
      </c>
      <c r="E20">
        <v>13</v>
      </c>
      <c r="F20">
        <v>1</v>
      </c>
      <c r="G20">
        <v>13</v>
      </c>
      <c r="H20">
        <v>1</v>
      </c>
      <c r="I20" t="s">
        <v>213</v>
      </c>
      <c r="J20" t="s">
        <v>3</v>
      </c>
      <c r="K20" t="s">
        <v>214</v>
      </c>
      <c r="L20">
        <v>1191</v>
      </c>
      <c r="N20">
        <v>1013</v>
      </c>
      <c r="O20" t="s">
        <v>215</v>
      </c>
      <c r="P20" t="s">
        <v>215</v>
      </c>
      <c r="Q20">
        <v>1</v>
      </c>
      <c r="X20">
        <v>2.83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1</v>
      </c>
      <c r="AF20" t="s">
        <v>3</v>
      </c>
      <c r="AG20">
        <v>2.83</v>
      </c>
      <c r="AH20">
        <v>2</v>
      </c>
      <c r="AI20">
        <v>36227030</v>
      </c>
      <c r="AJ20">
        <v>19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ROW(Source!A150)</f>
        <v>150</v>
      </c>
      <c r="B21">
        <v>36227058</v>
      </c>
      <c r="C21">
        <v>36227056</v>
      </c>
      <c r="D21">
        <v>30393407</v>
      </c>
      <c r="E21">
        <v>13</v>
      </c>
      <c r="F21">
        <v>1</v>
      </c>
      <c r="G21">
        <v>13</v>
      </c>
      <c r="H21">
        <v>1</v>
      </c>
      <c r="I21" t="s">
        <v>213</v>
      </c>
      <c r="J21" t="s">
        <v>3</v>
      </c>
      <c r="K21" t="s">
        <v>214</v>
      </c>
      <c r="L21">
        <v>1191</v>
      </c>
      <c r="N21">
        <v>1013</v>
      </c>
      <c r="O21" t="s">
        <v>215</v>
      </c>
      <c r="P21" t="s">
        <v>215</v>
      </c>
      <c r="Q21">
        <v>1</v>
      </c>
      <c r="X21">
        <v>23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1</v>
      </c>
      <c r="AF21" t="s">
        <v>3</v>
      </c>
      <c r="AG21">
        <v>23</v>
      </c>
      <c r="AH21">
        <v>2</v>
      </c>
      <c r="AI21">
        <v>36227057</v>
      </c>
      <c r="AJ21">
        <v>20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ROW(Source!A151)</f>
        <v>151</v>
      </c>
      <c r="B22">
        <v>36227061</v>
      </c>
      <c r="C22">
        <v>36227059</v>
      </c>
      <c r="D22">
        <v>30393407</v>
      </c>
      <c r="E22">
        <v>13</v>
      </c>
      <c r="F22">
        <v>1</v>
      </c>
      <c r="G22">
        <v>13</v>
      </c>
      <c r="H22">
        <v>1</v>
      </c>
      <c r="I22" t="s">
        <v>213</v>
      </c>
      <c r="J22" t="s">
        <v>3</v>
      </c>
      <c r="K22" t="s">
        <v>214</v>
      </c>
      <c r="L22">
        <v>1191</v>
      </c>
      <c r="N22">
        <v>1013</v>
      </c>
      <c r="O22" t="s">
        <v>215</v>
      </c>
      <c r="P22" t="s">
        <v>215</v>
      </c>
      <c r="Q22">
        <v>1</v>
      </c>
      <c r="X22">
        <v>8.1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1</v>
      </c>
      <c r="AF22" t="s">
        <v>3</v>
      </c>
      <c r="AG22">
        <v>8.1</v>
      </c>
      <c r="AH22">
        <v>2</v>
      </c>
      <c r="AI22">
        <v>36227060</v>
      </c>
      <c r="AJ22">
        <v>21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ROW(Source!A152)</f>
        <v>152</v>
      </c>
      <c r="B23">
        <v>36227064</v>
      </c>
      <c r="C23">
        <v>36227062</v>
      </c>
      <c r="D23">
        <v>30393407</v>
      </c>
      <c r="E23">
        <v>13</v>
      </c>
      <c r="F23">
        <v>1</v>
      </c>
      <c r="G23">
        <v>13</v>
      </c>
      <c r="H23">
        <v>1</v>
      </c>
      <c r="I23" t="s">
        <v>213</v>
      </c>
      <c r="J23" t="s">
        <v>3</v>
      </c>
      <c r="K23" t="s">
        <v>214</v>
      </c>
      <c r="L23">
        <v>1191</v>
      </c>
      <c r="N23">
        <v>1013</v>
      </c>
      <c r="O23" t="s">
        <v>215</v>
      </c>
      <c r="P23" t="s">
        <v>215</v>
      </c>
      <c r="Q23">
        <v>1</v>
      </c>
      <c r="X23">
        <v>0.9</v>
      </c>
      <c r="Y23">
        <v>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1</v>
      </c>
      <c r="AF23" t="s">
        <v>3</v>
      </c>
      <c r="AG23">
        <v>0.9</v>
      </c>
      <c r="AH23">
        <v>2</v>
      </c>
      <c r="AI23">
        <v>36227063</v>
      </c>
      <c r="AJ23">
        <v>22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ROW(Source!A153)</f>
        <v>153</v>
      </c>
      <c r="B24">
        <v>36227067</v>
      </c>
      <c r="C24">
        <v>36227065</v>
      </c>
      <c r="D24">
        <v>30393407</v>
      </c>
      <c r="E24">
        <v>13</v>
      </c>
      <c r="F24">
        <v>1</v>
      </c>
      <c r="G24">
        <v>13</v>
      </c>
      <c r="H24">
        <v>1</v>
      </c>
      <c r="I24" t="s">
        <v>213</v>
      </c>
      <c r="J24" t="s">
        <v>3</v>
      </c>
      <c r="K24" t="s">
        <v>214</v>
      </c>
      <c r="L24">
        <v>1191</v>
      </c>
      <c r="N24">
        <v>1013</v>
      </c>
      <c r="O24" t="s">
        <v>215</v>
      </c>
      <c r="P24" t="s">
        <v>215</v>
      </c>
      <c r="Q24">
        <v>1</v>
      </c>
      <c r="X24">
        <v>1.8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1</v>
      </c>
      <c r="AF24" t="s">
        <v>3</v>
      </c>
      <c r="AG24">
        <v>1.8</v>
      </c>
      <c r="AH24">
        <v>2</v>
      </c>
      <c r="AI24">
        <v>36227066</v>
      </c>
      <c r="AJ24">
        <v>23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ROW(Source!A154)</f>
        <v>154</v>
      </c>
      <c r="B25">
        <v>36227070</v>
      </c>
      <c r="C25">
        <v>36227068</v>
      </c>
      <c r="D25">
        <v>30393407</v>
      </c>
      <c r="E25">
        <v>13</v>
      </c>
      <c r="F25">
        <v>1</v>
      </c>
      <c r="G25">
        <v>13</v>
      </c>
      <c r="H25">
        <v>1</v>
      </c>
      <c r="I25" t="s">
        <v>213</v>
      </c>
      <c r="J25" t="s">
        <v>3</v>
      </c>
      <c r="K25" t="s">
        <v>214</v>
      </c>
      <c r="L25">
        <v>1191</v>
      </c>
      <c r="N25">
        <v>1013</v>
      </c>
      <c r="O25" t="s">
        <v>215</v>
      </c>
      <c r="P25" t="s">
        <v>215</v>
      </c>
      <c r="Q25">
        <v>1</v>
      </c>
      <c r="X25">
        <v>0.36</v>
      </c>
      <c r="Y25">
        <v>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1</v>
      </c>
      <c r="AF25" t="s">
        <v>187</v>
      </c>
      <c r="AG25">
        <v>0.46799999999999997</v>
      </c>
      <c r="AH25">
        <v>2</v>
      </c>
      <c r="AI25">
        <v>36227069</v>
      </c>
      <c r="AJ25">
        <v>24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ROW(Source!A155)</f>
        <v>155</v>
      </c>
      <c r="B26">
        <v>36227073</v>
      </c>
      <c r="C26">
        <v>36227071</v>
      </c>
      <c r="D26">
        <v>30393407</v>
      </c>
      <c r="E26">
        <v>13</v>
      </c>
      <c r="F26">
        <v>1</v>
      </c>
      <c r="G26">
        <v>13</v>
      </c>
      <c r="H26">
        <v>1</v>
      </c>
      <c r="I26" t="s">
        <v>213</v>
      </c>
      <c r="J26" t="s">
        <v>3</v>
      </c>
      <c r="K26" t="s">
        <v>214</v>
      </c>
      <c r="L26">
        <v>1191</v>
      </c>
      <c r="N26">
        <v>1013</v>
      </c>
      <c r="O26" t="s">
        <v>215</v>
      </c>
      <c r="P26" t="s">
        <v>215</v>
      </c>
      <c r="Q26">
        <v>1</v>
      </c>
      <c r="X26">
        <v>2.7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1</v>
      </c>
      <c r="AF26" t="s">
        <v>3</v>
      </c>
      <c r="AG26">
        <v>2.7</v>
      </c>
      <c r="AH26">
        <v>2</v>
      </c>
      <c r="AI26">
        <v>36227072</v>
      </c>
      <c r="AJ26">
        <v>25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ROW(Source!A156)</f>
        <v>156</v>
      </c>
      <c r="B27">
        <v>36227076</v>
      </c>
      <c r="C27">
        <v>36227074</v>
      </c>
      <c r="D27">
        <v>30393407</v>
      </c>
      <c r="E27">
        <v>13</v>
      </c>
      <c r="F27">
        <v>1</v>
      </c>
      <c r="G27">
        <v>13</v>
      </c>
      <c r="H27">
        <v>1</v>
      </c>
      <c r="I27" t="s">
        <v>213</v>
      </c>
      <c r="J27" t="s">
        <v>3</v>
      </c>
      <c r="K27" t="s">
        <v>214</v>
      </c>
      <c r="L27">
        <v>1191</v>
      </c>
      <c r="N27">
        <v>1013</v>
      </c>
      <c r="O27" t="s">
        <v>215</v>
      </c>
      <c r="P27" t="s">
        <v>215</v>
      </c>
      <c r="Q27">
        <v>1</v>
      </c>
      <c r="X27">
        <v>2.7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1</v>
      </c>
      <c r="AF27" t="s">
        <v>3</v>
      </c>
      <c r="AG27">
        <v>2.7</v>
      </c>
      <c r="AH27">
        <v>2</v>
      </c>
      <c r="AI27">
        <v>36227075</v>
      </c>
      <c r="AJ27">
        <v>26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ROW(Source!A157)</f>
        <v>157</v>
      </c>
      <c r="B28">
        <v>36227082</v>
      </c>
      <c r="C28">
        <v>36227080</v>
      </c>
      <c r="D28">
        <v>30393407</v>
      </c>
      <c r="E28">
        <v>13</v>
      </c>
      <c r="F28">
        <v>1</v>
      </c>
      <c r="G28">
        <v>13</v>
      </c>
      <c r="H28">
        <v>1</v>
      </c>
      <c r="I28" t="s">
        <v>213</v>
      </c>
      <c r="J28" t="s">
        <v>3</v>
      </c>
      <c r="K28" t="s">
        <v>214</v>
      </c>
      <c r="L28">
        <v>1191</v>
      </c>
      <c r="N28">
        <v>1013</v>
      </c>
      <c r="O28" t="s">
        <v>215</v>
      </c>
      <c r="P28" t="s">
        <v>215</v>
      </c>
      <c r="Q28">
        <v>1</v>
      </c>
      <c r="X28">
        <v>1.8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1</v>
      </c>
      <c r="AF28" t="s">
        <v>3</v>
      </c>
      <c r="AG28">
        <v>1.8</v>
      </c>
      <c r="AH28">
        <v>2</v>
      </c>
      <c r="AI28">
        <v>36227081</v>
      </c>
      <c r="AJ28">
        <v>27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Смета по ТСН-2001</vt:lpstr>
      <vt:lpstr>Source</vt:lpstr>
      <vt:lpstr>SourceObSm</vt:lpstr>
      <vt:lpstr>SmtRes</vt:lpstr>
      <vt:lpstr>EtalonRes</vt:lpstr>
      <vt:lpstr>'Смета по ТСН-2001'!Заголовки_для_печати</vt:lpstr>
      <vt:lpstr>'Смета по ТСН-2001'!Область_печати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Самодуров</dc:creator>
  <cp:lastModifiedBy>79266</cp:lastModifiedBy>
  <dcterms:created xsi:type="dcterms:W3CDTF">2020-10-06T05:05:45Z</dcterms:created>
  <dcterms:modified xsi:type="dcterms:W3CDTF">2020-10-06T07:01:58Z</dcterms:modified>
</cp:coreProperties>
</file>